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autoCompressPictures="0"/>
  <bookViews>
    <workbookView xWindow="0" yWindow="0" windowWidth="12240" windowHeight="9240"/>
  </bookViews>
  <sheets>
    <sheet name="Sum" sheetId="1" r:id="rId1"/>
    <sheet name="Budget detail (2018)" sheetId="2" r:id="rId2"/>
    <sheet name="Budget detail (2019)" sheetId="3" r:id="rId3"/>
    <sheet name="Budget detail (2020)" sheetId="4" r:id="rId4"/>
  </sheets>
  <externalReferences>
    <externalReference r:id="rId5"/>
  </externalReferences>
  <definedNames>
    <definedName name="_xlnm.Print_Titles" localSheetId="0">Sum!$7:$8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38" i="4" l="1"/>
  <c r="G638" i="4"/>
  <c r="G548" i="4"/>
  <c r="G536" i="4"/>
  <c r="G541" i="4" s="1"/>
  <c r="H541" i="4" s="1"/>
  <c r="G630" i="4"/>
  <c r="D629" i="4"/>
  <c r="G629" i="4" s="1"/>
  <c r="D628" i="4"/>
  <c r="G628" i="4" s="1"/>
  <c r="E627" i="4"/>
  <c r="G627" i="4" s="1"/>
  <c r="E626" i="4"/>
  <c r="G626" i="4" s="1"/>
  <c r="E625" i="4"/>
  <c r="G625" i="4" s="1"/>
  <c r="E624" i="4"/>
  <c r="G624" i="4" s="1"/>
  <c r="E623" i="4"/>
  <c r="G623" i="4" s="1"/>
  <c r="E622" i="4"/>
  <c r="G622" i="4" s="1"/>
  <c r="E621" i="4"/>
  <c r="G621" i="4" s="1"/>
  <c r="E620" i="4"/>
  <c r="G620" i="4" s="1"/>
  <c r="E619" i="4"/>
  <c r="G619" i="4" s="1"/>
  <c r="E618" i="4"/>
  <c r="G618" i="4" s="1"/>
  <c r="E617" i="4"/>
  <c r="G617" i="4" s="1"/>
  <c r="E616" i="4"/>
  <c r="G616" i="4" s="1"/>
  <c r="E615" i="4"/>
  <c r="G615" i="4" s="1"/>
  <c r="E614" i="4"/>
  <c r="G614" i="4" s="1"/>
  <c r="E613" i="4"/>
  <c r="G613" i="4" s="1"/>
  <c r="E612" i="4"/>
  <c r="G612" i="4" s="1"/>
  <c r="D611" i="4"/>
  <c r="G611" i="4" s="1"/>
  <c r="D610" i="4"/>
  <c r="G610" i="4" s="1"/>
  <c r="G609" i="4"/>
  <c r="G608" i="4"/>
  <c r="E607" i="4"/>
  <c r="G607" i="4" s="1"/>
  <c r="E606" i="4"/>
  <c r="G606" i="4" s="1"/>
  <c r="E605" i="4"/>
  <c r="G605" i="4" s="1"/>
  <c r="E604" i="4"/>
  <c r="G604" i="4" s="1"/>
  <c r="E603" i="4"/>
  <c r="G603" i="4" s="1"/>
  <c r="E602" i="4"/>
  <c r="G602" i="4" s="1"/>
  <c r="E601" i="4"/>
  <c r="G601" i="4" s="1"/>
  <c r="E600" i="4"/>
  <c r="G600" i="4" s="1"/>
  <c r="E599" i="4"/>
  <c r="G599" i="4" s="1"/>
  <c r="F598" i="4"/>
  <c r="E598" i="4"/>
  <c r="G598" i="4" s="1"/>
  <c r="G597" i="4"/>
  <c r="E597" i="4"/>
  <c r="F596" i="4"/>
  <c r="E596" i="4"/>
  <c r="G595" i="4"/>
  <c r="F594" i="4"/>
  <c r="G594" i="4" s="1"/>
  <c r="G593" i="4"/>
  <c r="F592" i="4"/>
  <c r="G592" i="4" s="1"/>
  <c r="G591" i="4"/>
  <c r="G590" i="4"/>
  <c r="G589" i="4"/>
  <c r="G588" i="4"/>
  <c r="G587" i="4"/>
  <c r="G586" i="4"/>
  <c r="G585" i="4"/>
  <c r="G584" i="4"/>
  <c r="G583" i="4"/>
  <c r="G582" i="4"/>
  <c r="G581" i="4"/>
  <c r="G580" i="4"/>
  <c r="G579" i="4"/>
  <c r="G578" i="4"/>
  <c r="G577" i="4"/>
  <c r="H575" i="4"/>
  <c r="G571" i="4"/>
  <c r="G570" i="4"/>
  <c r="G569" i="4"/>
  <c r="G568" i="4"/>
  <c r="G567" i="4"/>
  <c r="G566" i="4"/>
  <c r="G565" i="4"/>
  <c r="G564" i="4"/>
  <c r="G563" i="4"/>
  <c r="G562" i="4"/>
  <c r="G561" i="4"/>
  <c r="G560" i="4"/>
  <c r="G557" i="4"/>
  <c r="G556" i="4"/>
  <c r="G555" i="4"/>
  <c r="G554" i="4"/>
  <c r="G553" i="4"/>
  <c r="G552" i="4"/>
  <c r="G551" i="4"/>
  <c r="G550" i="4"/>
  <c r="G558" i="4" s="1"/>
  <c r="H558" i="4" s="1"/>
  <c r="G547" i="4"/>
  <c r="G546" i="4"/>
  <c r="G545" i="4"/>
  <c r="G544" i="4"/>
  <c r="G543" i="4"/>
  <c r="G542" i="4"/>
  <c r="G540" i="4"/>
  <c r="G539" i="4"/>
  <c r="G538" i="4"/>
  <c r="G537" i="4"/>
  <c r="G534" i="4"/>
  <c r="H534" i="4" s="1"/>
  <c r="G533" i="4"/>
  <c r="G532" i="4"/>
  <c r="G531" i="4"/>
  <c r="G530" i="4"/>
  <c r="G529" i="4"/>
  <c r="G521" i="4"/>
  <c r="E520" i="4"/>
  <c r="G520" i="4" s="1"/>
  <c r="G518" i="4"/>
  <c r="G517" i="4"/>
  <c r="G516" i="4"/>
  <c r="G514" i="4"/>
  <c r="G508" i="4"/>
  <c r="G507" i="4"/>
  <c r="G506" i="4"/>
  <c r="D505" i="4"/>
  <c r="G505" i="4" s="1"/>
  <c r="G504" i="4"/>
  <c r="G510" i="4" s="1"/>
  <c r="H510" i="4" s="1"/>
  <c r="G503" i="4"/>
  <c r="H501" i="4"/>
  <c r="G499" i="4"/>
  <c r="G498" i="4"/>
  <c r="G497" i="4"/>
  <c r="D496" i="4"/>
  <c r="G496" i="4" s="1"/>
  <c r="G495" i="4"/>
  <c r="G494" i="4"/>
  <c r="G490" i="4"/>
  <c r="G489" i="4"/>
  <c r="G488" i="4"/>
  <c r="D487" i="4"/>
  <c r="G487" i="4" s="1"/>
  <c r="G492" i="4" s="1"/>
  <c r="H492" i="4" s="1"/>
  <c r="G486" i="4"/>
  <c r="G485" i="4"/>
  <c r="G482" i="4"/>
  <c r="G481" i="4"/>
  <c r="G480" i="4"/>
  <c r="G479" i="4"/>
  <c r="D477" i="4"/>
  <c r="G477" i="4" s="1"/>
  <c r="D476" i="4"/>
  <c r="G476" i="4" s="1"/>
  <c r="G470" i="4"/>
  <c r="G465" i="4"/>
  <c r="G463" i="4"/>
  <c r="G461" i="4"/>
  <c r="D457" i="4"/>
  <c r="D456" i="4"/>
  <c r="E454" i="4"/>
  <c r="G454" i="4" s="1"/>
  <c r="E453" i="4"/>
  <c r="G453" i="4" s="1"/>
  <c r="E452" i="4"/>
  <c r="G452" i="4" s="1"/>
  <c r="E451" i="4"/>
  <c r="G451" i="4" s="1"/>
  <c r="E450" i="4"/>
  <c r="G450" i="4" s="1"/>
  <c r="E449" i="4"/>
  <c r="G449" i="4" s="1"/>
  <c r="E448" i="4"/>
  <c r="G448" i="4" s="1"/>
  <c r="E447" i="4"/>
  <c r="G447" i="4" s="1"/>
  <c r="E445" i="4"/>
  <c r="G445" i="4" s="1"/>
  <c r="G444" i="4"/>
  <c r="G443" i="4"/>
  <c r="G442" i="4"/>
  <c r="G440" i="4"/>
  <c r="G439" i="4"/>
  <c r="G438" i="4"/>
  <c r="E437" i="4"/>
  <c r="G437" i="4" s="1"/>
  <c r="G436" i="4"/>
  <c r="G435" i="4"/>
  <c r="G434" i="4"/>
  <c r="G433" i="4"/>
  <c r="G484" i="4" s="1"/>
  <c r="H484" i="4" s="1"/>
  <c r="G430" i="4"/>
  <c r="G429" i="4"/>
  <c r="G428" i="4"/>
  <c r="G427" i="4"/>
  <c r="G426" i="4"/>
  <c r="G425" i="4"/>
  <c r="D425" i="4"/>
  <c r="D424" i="4"/>
  <c r="G424" i="4" s="1"/>
  <c r="G423" i="4"/>
  <c r="E423" i="4"/>
  <c r="E422" i="4"/>
  <c r="G422" i="4" s="1"/>
  <c r="G421" i="4"/>
  <c r="E421" i="4"/>
  <c r="E420" i="4"/>
  <c r="G420" i="4" s="1"/>
  <c r="G419" i="4"/>
  <c r="E419" i="4"/>
  <c r="E418" i="4"/>
  <c r="G418" i="4" s="1"/>
  <c r="G417" i="4"/>
  <c r="E417" i="4"/>
  <c r="E416" i="4"/>
  <c r="G416" i="4" s="1"/>
  <c r="G415" i="4"/>
  <c r="E415" i="4"/>
  <c r="E414" i="4"/>
  <c r="G414" i="4" s="1"/>
  <c r="G413" i="4"/>
  <c r="E413" i="4"/>
  <c r="E412" i="4"/>
  <c r="G412" i="4" s="1"/>
  <c r="G411" i="4"/>
  <c r="E411" i="4"/>
  <c r="E410" i="4"/>
  <c r="G410" i="4" s="1"/>
  <c r="G409" i="4"/>
  <c r="E409" i="4"/>
  <c r="E408" i="4"/>
  <c r="G408" i="4" s="1"/>
  <c r="G407" i="4"/>
  <c r="E407" i="4"/>
  <c r="E406" i="4"/>
  <c r="G406" i="4" s="1"/>
  <c r="G405" i="4"/>
  <c r="E405" i="4"/>
  <c r="E404" i="4"/>
  <c r="G404" i="4" s="1"/>
  <c r="G403" i="4"/>
  <c r="E403" i="4"/>
  <c r="E402" i="4"/>
  <c r="G402" i="4" s="1"/>
  <c r="G401" i="4"/>
  <c r="E399" i="4"/>
  <c r="D399" i="4"/>
  <c r="G398" i="4"/>
  <c r="G397" i="4"/>
  <c r="G396" i="4"/>
  <c r="E396" i="4"/>
  <c r="G395" i="4"/>
  <c r="E394" i="4"/>
  <c r="G394" i="4" s="1"/>
  <c r="G393" i="4"/>
  <c r="G392" i="4"/>
  <c r="G391" i="4"/>
  <c r="G390" i="4"/>
  <c r="E390" i="4"/>
  <c r="G389" i="4"/>
  <c r="E388" i="4"/>
  <c r="G388" i="4" s="1"/>
  <c r="G387" i="4"/>
  <c r="G386" i="4"/>
  <c r="G385" i="4"/>
  <c r="G384" i="4"/>
  <c r="G381" i="4"/>
  <c r="G380" i="4"/>
  <c r="G379" i="4"/>
  <c r="G378" i="4"/>
  <c r="G377" i="4"/>
  <c r="G376" i="4"/>
  <c r="D375" i="4"/>
  <c r="G375" i="4" s="1"/>
  <c r="D374" i="4"/>
  <c r="G374" i="4" s="1"/>
  <c r="E373" i="4"/>
  <c r="G373" i="4" s="1"/>
  <c r="E372" i="4"/>
  <c r="G372" i="4" s="1"/>
  <c r="E371" i="4"/>
  <c r="G371" i="4" s="1"/>
  <c r="E370" i="4"/>
  <c r="G370" i="4" s="1"/>
  <c r="E369" i="4"/>
  <c r="G369" i="4" s="1"/>
  <c r="E368" i="4"/>
  <c r="G368" i="4" s="1"/>
  <c r="E367" i="4"/>
  <c r="G367" i="4" s="1"/>
  <c r="E366" i="4"/>
  <c r="G366" i="4" s="1"/>
  <c r="E365" i="4"/>
  <c r="G365" i="4" s="1"/>
  <c r="E364" i="4"/>
  <c r="G364" i="4" s="1"/>
  <c r="E363" i="4"/>
  <c r="G363" i="4" s="1"/>
  <c r="E362" i="4"/>
  <c r="G362" i="4" s="1"/>
  <c r="E361" i="4"/>
  <c r="G361" i="4" s="1"/>
  <c r="E360" i="4"/>
  <c r="G360" i="4" s="1"/>
  <c r="E359" i="4"/>
  <c r="G359" i="4" s="1"/>
  <c r="E358" i="4"/>
  <c r="G358" i="4" s="1"/>
  <c r="E357" i="4"/>
  <c r="G357" i="4" s="1"/>
  <c r="G356" i="4"/>
  <c r="E356" i="4"/>
  <c r="E355" i="4"/>
  <c r="G355" i="4" s="1"/>
  <c r="E354" i="4"/>
  <c r="G354" i="4" s="1"/>
  <c r="E353" i="4"/>
  <c r="G353" i="4" s="1"/>
  <c r="E352" i="4"/>
  <c r="G352" i="4" s="1"/>
  <c r="E351" i="4"/>
  <c r="G351" i="4" s="1"/>
  <c r="E350" i="4"/>
  <c r="G350" i="4" s="1"/>
  <c r="E349" i="4"/>
  <c r="D349" i="4"/>
  <c r="G349" i="4" s="1"/>
  <c r="E347" i="4"/>
  <c r="G346" i="4"/>
  <c r="E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26" i="4"/>
  <c r="G325" i="4"/>
  <c r="G323" i="4"/>
  <c r="G322" i="4"/>
  <c r="G321" i="4"/>
  <c r="G320" i="4"/>
  <c r="G319" i="4"/>
  <c r="G318" i="4"/>
  <c r="E317" i="4"/>
  <c r="G317" i="4" s="1"/>
  <c r="G316" i="4"/>
  <c r="E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299" i="4"/>
  <c r="G298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300" i="4" s="1"/>
  <c r="D280" i="4"/>
  <c r="G278" i="4"/>
  <c r="G277" i="4"/>
  <c r="G275" i="4"/>
  <c r="G274" i="4"/>
  <c r="G273" i="4"/>
  <c r="G272" i="4"/>
  <c r="G271" i="4"/>
  <c r="G270" i="4"/>
  <c r="G269" i="4"/>
  <c r="E268" i="4"/>
  <c r="G268" i="4" s="1"/>
  <c r="G267" i="4"/>
  <c r="G266" i="4"/>
  <c r="G265" i="4"/>
  <c r="G264" i="4"/>
  <c r="G263" i="4"/>
  <c r="G262" i="4"/>
  <c r="G261" i="4"/>
  <c r="G260" i="4"/>
  <c r="G259" i="4"/>
  <c r="G258" i="4"/>
  <c r="G257" i="4"/>
  <c r="D256" i="4"/>
  <c r="G256" i="4" s="1"/>
  <c r="G279" i="4" s="1"/>
  <c r="H279" i="4" s="1"/>
  <c r="G254" i="4"/>
  <c r="G253" i="4"/>
  <c r="G251" i="4"/>
  <c r="G250" i="4"/>
  <c r="G249" i="4"/>
  <c r="G248" i="4"/>
  <c r="G247" i="4"/>
  <c r="G246" i="4"/>
  <c r="G245" i="4"/>
  <c r="E244" i="4"/>
  <c r="G244" i="4" s="1"/>
  <c r="G243" i="4"/>
  <c r="G242" i="4"/>
  <c r="G241" i="4"/>
  <c r="G240" i="4"/>
  <c r="G239" i="4"/>
  <c r="G238" i="4"/>
  <c r="G237" i="4"/>
  <c r="G236" i="4"/>
  <c r="G235" i="4"/>
  <c r="G234" i="4"/>
  <c r="G233" i="4"/>
  <c r="G232" i="4"/>
  <c r="D232" i="4"/>
  <c r="G230" i="4"/>
  <c r="G229" i="4"/>
  <c r="G227" i="4"/>
  <c r="G226" i="4"/>
  <c r="G225" i="4"/>
  <c r="G224" i="4"/>
  <c r="G223" i="4"/>
  <c r="G222" i="4"/>
  <c r="G221" i="4"/>
  <c r="E220" i="4"/>
  <c r="G220" i="4" s="1"/>
  <c r="G219" i="4"/>
  <c r="G218" i="4"/>
  <c r="G217" i="4"/>
  <c r="G216" i="4"/>
  <c r="G215" i="4"/>
  <c r="G214" i="4"/>
  <c r="G213" i="4"/>
  <c r="G212" i="4"/>
  <c r="G211" i="4"/>
  <c r="G210" i="4"/>
  <c r="G209" i="4"/>
  <c r="D208" i="4"/>
  <c r="G208" i="4" s="1"/>
  <c r="G231" i="4" s="1"/>
  <c r="H231" i="4" s="1"/>
  <c r="G206" i="4"/>
  <c r="G205" i="4"/>
  <c r="G203" i="4"/>
  <c r="G202" i="4"/>
  <c r="G201" i="4"/>
  <c r="G200" i="4"/>
  <c r="G199" i="4"/>
  <c r="G198" i="4"/>
  <c r="G197" i="4"/>
  <c r="E196" i="4"/>
  <c r="G196" i="4" s="1"/>
  <c r="G195" i="4"/>
  <c r="G194" i="4"/>
  <c r="G193" i="4"/>
  <c r="G192" i="4"/>
  <c r="G191" i="4"/>
  <c r="G190" i="4"/>
  <c r="G189" i="4"/>
  <c r="G188" i="4"/>
  <c r="G187" i="4"/>
  <c r="G186" i="4"/>
  <c r="G185" i="4"/>
  <c r="G184" i="4"/>
  <c r="D184" i="4"/>
  <c r="G182" i="4"/>
  <c r="G181" i="4"/>
  <c r="G179" i="4"/>
  <c r="G178" i="4"/>
  <c r="G177" i="4"/>
  <c r="G176" i="4"/>
  <c r="G175" i="4"/>
  <c r="G174" i="4"/>
  <c r="G173" i="4"/>
  <c r="E172" i="4"/>
  <c r="G172" i="4" s="1"/>
  <c r="G171" i="4"/>
  <c r="G170" i="4"/>
  <c r="G169" i="4"/>
  <c r="G168" i="4"/>
  <c r="G167" i="4"/>
  <c r="G166" i="4"/>
  <c r="G165" i="4"/>
  <c r="G164" i="4"/>
  <c r="G163" i="4"/>
  <c r="G162" i="4"/>
  <c r="G161" i="4"/>
  <c r="D160" i="4"/>
  <c r="G160" i="4" s="1"/>
  <c r="G183" i="4" s="1"/>
  <c r="H183" i="4" s="1"/>
  <c r="G158" i="4"/>
  <c r="G157" i="4"/>
  <c r="G155" i="4"/>
  <c r="G154" i="4"/>
  <c r="G153" i="4"/>
  <c r="G152" i="4"/>
  <c r="G151" i="4"/>
  <c r="G150" i="4"/>
  <c r="G149" i="4"/>
  <c r="G148" i="4"/>
  <c r="E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D135" i="4"/>
  <c r="G135" i="4" s="1"/>
  <c r="G159" i="4" s="1"/>
  <c r="H159" i="4" s="1"/>
  <c r="I159" i="4" s="1"/>
  <c r="G133" i="4"/>
  <c r="G132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D115" i="4"/>
  <c r="G115" i="4" s="1"/>
  <c r="G134" i="4" s="1"/>
  <c r="H134" i="4" s="1"/>
  <c r="G113" i="4"/>
  <c r="G112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D94" i="4"/>
  <c r="G94" i="4" s="1"/>
  <c r="G114" i="4" s="1"/>
  <c r="H114" i="4" s="1"/>
  <c r="G92" i="4"/>
  <c r="G91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93" i="4" s="1"/>
  <c r="H93" i="4" s="1"/>
  <c r="G71" i="4"/>
  <c r="G70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72" i="4" s="1"/>
  <c r="H72" i="4" s="1"/>
  <c r="G50" i="4"/>
  <c r="G49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51" i="4" s="1"/>
  <c r="H51" i="4" s="1"/>
  <c r="G31" i="4"/>
  <c r="G29" i="4"/>
  <c r="G28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30" i="4" s="1"/>
  <c r="G8" i="4"/>
  <c r="G7" i="4"/>
  <c r="H862" i="3"/>
  <c r="G862" i="3"/>
  <c r="H861" i="3"/>
  <c r="H860" i="3"/>
  <c r="G856" i="3"/>
  <c r="G855" i="3"/>
  <c r="G854" i="3"/>
  <c r="G853" i="3"/>
  <c r="G852" i="3"/>
  <c r="G851" i="3"/>
  <c r="G850" i="3"/>
  <c r="G848" i="3"/>
  <c r="G847" i="3"/>
  <c r="G846" i="3"/>
  <c r="G845" i="3"/>
  <c r="G844" i="3"/>
  <c r="G843" i="3"/>
  <c r="G842" i="3"/>
  <c r="G840" i="3"/>
  <c r="G839" i="3"/>
  <c r="G837" i="3"/>
  <c r="G836" i="3"/>
  <c r="G834" i="3"/>
  <c r="G833" i="3"/>
  <c r="G832" i="3"/>
  <c r="G831" i="3"/>
  <c r="G830" i="3"/>
  <c r="G829" i="3"/>
  <c r="G857" i="3" s="1"/>
  <c r="H857" i="3" s="1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0" i="3"/>
  <c r="E808" i="3"/>
  <c r="D808" i="3"/>
  <c r="G808" i="3" s="1"/>
  <c r="G807" i="3"/>
  <c r="G805" i="3"/>
  <c r="G804" i="3"/>
  <c r="E802" i="3"/>
  <c r="G802" i="3" s="1"/>
  <c r="G801" i="3"/>
  <c r="G799" i="3"/>
  <c r="G798" i="3"/>
  <c r="G797" i="3"/>
  <c r="G796" i="3"/>
  <c r="G795" i="3"/>
  <c r="G794" i="3"/>
  <c r="G793" i="3"/>
  <c r="G792" i="3"/>
  <c r="G791" i="3"/>
  <c r="G790" i="3"/>
  <c r="G789" i="3"/>
  <c r="H784" i="3"/>
  <c r="H785" i="3" s="1"/>
  <c r="G780" i="3"/>
  <c r="G779" i="3"/>
  <c r="G778" i="3"/>
  <c r="G777" i="3"/>
  <c r="G776" i="3"/>
  <c r="G775" i="3"/>
  <c r="E774" i="3"/>
  <c r="D774" i="3"/>
  <c r="G774" i="3" s="1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E751" i="3"/>
  <c r="G751" i="3" s="1"/>
  <c r="A751" i="3"/>
  <c r="G750" i="3"/>
  <c r="E750" i="3"/>
  <c r="G749" i="3"/>
  <c r="G748" i="3"/>
  <c r="G747" i="3"/>
  <c r="G746" i="3"/>
  <c r="G745" i="3"/>
  <c r="G744" i="3"/>
  <c r="G781" i="3" s="1"/>
  <c r="H781" i="3" s="1"/>
  <c r="G741" i="3"/>
  <c r="G740" i="3"/>
  <c r="G739" i="3"/>
  <c r="G738" i="3"/>
  <c r="G737" i="3"/>
  <c r="G736" i="3"/>
  <c r="D735" i="3"/>
  <c r="G735" i="3" s="1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E709" i="3"/>
  <c r="A709" i="3"/>
  <c r="E708" i="3"/>
  <c r="G708" i="3" s="1"/>
  <c r="G707" i="3"/>
  <c r="G706" i="3"/>
  <c r="G705" i="3"/>
  <c r="G704" i="3"/>
  <c r="G703" i="3"/>
  <c r="G702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99" i="3" s="1"/>
  <c r="G682" i="3"/>
  <c r="G681" i="3"/>
  <c r="G680" i="3"/>
  <c r="G679" i="3"/>
  <c r="G678" i="3"/>
  <c r="G677" i="3"/>
  <c r="G676" i="3"/>
  <c r="G675" i="3"/>
  <c r="G683" i="3" s="1"/>
  <c r="G674" i="3"/>
  <c r="G673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71" i="3" s="1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54" i="3" s="1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31" i="3" s="1"/>
  <c r="G608" i="3"/>
  <c r="G607" i="3"/>
  <c r="G606" i="3"/>
  <c r="G605" i="3"/>
  <c r="G604" i="3"/>
  <c r="G603" i="3"/>
  <c r="G601" i="3"/>
  <c r="G600" i="3"/>
  <c r="E600" i="3"/>
  <c r="G599" i="3"/>
  <c r="G598" i="3"/>
  <c r="G596" i="3"/>
  <c r="G595" i="3"/>
  <c r="G594" i="3"/>
  <c r="G593" i="3"/>
  <c r="G592" i="3"/>
  <c r="G591" i="3"/>
  <c r="G590" i="3"/>
  <c r="G589" i="3"/>
  <c r="G588" i="3"/>
  <c r="G609" i="3" s="1"/>
  <c r="G587" i="3"/>
  <c r="G584" i="3"/>
  <c r="G583" i="3"/>
  <c r="G582" i="3"/>
  <c r="G581" i="3"/>
  <c r="G580" i="3"/>
  <c r="E578" i="3"/>
  <c r="G578" i="3" s="1"/>
  <c r="G577" i="3"/>
  <c r="G576" i="3"/>
  <c r="G579" i="3" s="1"/>
  <c r="G575" i="3"/>
  <c r="G574" i="3"/>
  <c r="G572" i="3"/>
  <c r="G571" i="3"/>
  <c r="G570" i="3"/>
  <c r="G569" i="3"/>
  <c r="G568" i="3"/>
  <c r="G567" i="3"/>
  <c r="G585" i="3" s="1"/>
  <c r="G566" i="3"/>
  <c r="G563" i="3"/>
  <c r="G562" i="3"/>
  <c r="G561" i="3"/>
  <c r="G560" i="3"/>
  <c r="E559" i="3"/>
  <c r="G559" i="3" s="1"/>
  <c r="G564" i="3" s="1"/>
  <c r="G558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43" i="3" s="1"/>
  <c r="G516" i="3"/>
  <c r="G515" i="3"/>
  <c r="G514" i="3"/>
  <c r="G513" i="3"/>
  <c r="G512" i="3"/>
  <c r="G511" i="3"/>
  <c r="G510" i="3"/>
  <c r="E508" i="3"/>
  <c r="E509" i="3" s="1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517" i="3" s="1"/>
  <c r="G490" i="3"/>
  <c r="G489" i="3"/>
  <c r="G488" i="3"/>
  <c r="G487" i="3"/>
  <c r="E486" i="3"/>
  <c r="G486" i="3" s="1"/>
  <c r="G485" i="3"/>
  <c r="G483" i="3"/>
  <c r="E483" i="3"/>
  <c r="G482" i="3"/>
  <c r="E482" i="3"/>
  <c r="G481" i="3"/>
  <c r="E481" i="3"/>
  <c r="G480" i="3"/>
  <c r="G478" i="3"/>
  <c r="G477" i="3"/>
  <c r="G476" i="3"/>
  <c r="G474" i="3"/>
  <c r="G473" i="3"/>
  <c r="G472" i="3"/>
  <c r="G471" i="3"/>
  <c r="G470" i="3"/>
  <c r="G469" i="3"/>
  <c r="G468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66" i="3" s="1"/>
  <c r="G440" i="3"/>
  <c r="G439" i="3"/>
  <c r="G438" i="3"/>
  <c r="G437" i="3"/>
  <c r="G436" i="3"/>
  <c r="G435" i="3"/>
  <c r="G433" i="3"/>
  <c r="G432" i="3"/>
  <c r="G431" i="3"/>
  <c r="G430" i="3"/>
  <c r="G429" i="3"/>
  <c r="G427" i="3"/>
  <c r="G426" i="3"/>
  <c r="G425" i="3"/>
  <c r="G424" i="3"/>
  <c r="G423" i="3"/>
  <c r="G422" i="3"/>
  <c r="G421" i="3"/>
  <c r="G420" i="3"/>
  <c r="G419" i="3"/>
  <c r="G441" i="3" s="1"/>
  <c r="G418" i="3"/>
  <c r="G417" i="3"/>
  <c r="G412" i="3"/>
  <c r="G411" i="3"/>
  <c r="G410" i="3"/>
  <c r="G409" i="3"/>
  <c r="G408" i="3"/>
  <c r="E407" i="3"/>
  <c r="G406" i="3"/>
  <c r="G405" i="3"/>
  <c r="G404" i="3"/>
  <c r="G403" i="3"/>
  <c r="G402" i="3"/>
  <c r="G401" i="3"/>
  <c r="G400" i="3"/>
  <c r="G399" i="3"/>
  <c r="G414" i="3" s="1"/>
  <c r="H414" i="3" s="1"/>
  <c r="G395" i="3"/>
  <c r="G394" i="3"/>
  <c r="G393" i="3"/>
  <c r="G392" i="3"/>
  <c r="E391" i="3"/>
  <c r="G391" i="3" s="1"/>
  <c r="G390" i="3"/>
  <c r="G389" i="3"/>
  <c r="G388" i="3"/>
  <c r="G387" i="3"/>
  <c r="G386" i="3"/>
  <c r="G385" i="3"/>
  <c r="G384" i="3"/>
  <c r="G381" i="3"/>
  <c r="G379" i="3"/>
  <c r="G373" i="3"/>
  <c r="G375" i="3" s="1"/>
  <c r="H375" i="3" s="1"/>
  <c r="G372" i="3"/>
  <c r="G367" i="3"/>
  <c r="G366" i="3"/>
  <c r="G365" i="3"/>
  <c r="G364" i="3"/>
  <c r="G363" i="3"/>
  <c r="G362" i="3"/>
  <c r="G361" i="3"/>
  <c r="E361" i="3"/>
  <c r="G360" i="3"/>
  <c r="E360" i="3"/>
  <c r="G359" i="3"/>
  <c r="E359" i="3"/>
  <c r="G358" i="3"/>
  <c r="E358" i="3"/>
  <c r="G357" i="3"/>
  <c r="E357" i="3"/>
  <c r="G356" i="3"/>
  <c r="E356" i="3"/>
  <c r="G355" i="3"/>
  <c r="E355" i="3"/>
  <c r="G354" i="3"/>
  <c r="E354" i="3"/>
  <c r="G353" i="3"/>
  <c r="E352" i="3"/>
  <c r="G352" i="3" s="1"/>
  <c r="E351" i="3"/>
  <c r="G351" i="3" s="1"/>
  <c r="E350" i="3"/>
  <c r="G350" i="3" s="1"/>
  <c r="E349" i="3"/>
  <c r="G349" i="3" s="1"/>
  <c r="E348" i="3"/>
  <c r="G348" i="3" s="1"/>
  <c r="E347" i="3"/>
  <c r="G347" i="3" s="1"/>
  <c r="E346" i="3"/>
  <c r="G346" i="3" s="1"/>
  <c r="E345" i="3"/>
  <c r="G345" i="3" s="1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69" i="3" s="1"/>
  <c r="H369" i="3" s="1"/>
  <c r="G318" i="3"/>
  <c r="G317" i="3"/>
  <c r="G316" i="3"/>
  <c r="G315" i="3"/>
  <c r="G314" i="3"/>
  <c r="G313" i="3"/>
  <c r="G312" i="3"/>
  <c r="G311" i="3"/>
  <c r="E310" i="3"/>
  <c r="G310" i="3" s="1"/>
  <c r="E309" i="3"/>
  <c r="G309" i="3" s="1"/>
  <c r="E308" i="3"/>
  <c r="G308" i="3" s="1"/>
  <c r="E307" i="3"/>
  <c r="G307" i="3" s="1"/>
  <c r="E306" i="3"/>
  <c r="G306" i="3" s="1"/>
  <c r="E305" i="3"/>
  <c r="G305" i="3" s="1"/>
  <c r="E304" i="3"/>
  <c r="G304" i="3" s="1"/>
  <c r="E303" i="3"/>
  <c r="G303" i="3" s="1"/>
  <c r="G302" i="3"/>
  <c r="G301" i="3"/>
  <c r="E301" i="3"/>
  <c r="G300" i="3"/>
  <c r="E300" i="3"/>
  <c r="G299" i="3"/>
  <c r="E299" i="3"/>
  <c r="G298" i="3"/>
  <c r="E298" i="3"/>
  <c r="G297" i="3"/>
  <c r="E297" i="3"/>
  <c r="G296" i="3"/>
  <c r="E296" i="3"/>
  <c r="G295" i="3"/>
  <c r="E295" i="3"/>
  <c r="G294" i="3"/>
  <c r="E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47" i="3"/>
  <c r="G239" i="3"/>
  <c r="G236" i="3"/>
  <c r="G235" i="3"/>
  <c r="G234" i="3"/>
  <c r="G233" i="3"/>
  <c r="G232" i="3"/>
  <c r="D231" i="3"/>
  <c r="G231" i="3" s="1"/>
  <c r="G229" i="3"/>
  <c r="G228" i="3"/>
  <c r="G227" i="3"/>
  <c r="G226" i="3"/>
  <c r="G225" i="3"/>
  <c r="G224" i="3"/>
  <c r="G223" i="3"/>
  <c r="G222" i="3"/>
  <c r="G221" i="3"/>
  <c r="G220" i="3"/>
  <c r="G219" i="3"/>
  <c r="G218" i="3"/>
  <c r="G216" i="3"/>
  <c r="G215" i="3"/>
  <c r="G214" i="3"/>
  <c r="G213" i="3"/>
  <c r="G212" i="3"/>
  <c r="G211" i="3"/>
  <c r="G210" i="3"/>
  <c r="G209" i="3"/>
  <c r="G207" i="3"/>
  <c r="G206" i="3"/>
  <c r="G205" i="3"/>
  <c r="G204" i="3"/>
  <c r="G203" i="3"/>
  <c r="G202" i="3"/>
  <c r="H197" i="3"/>
  <c r="G188" i="3"/>
  <c r="G183" i="3"/>
  <c r="G181" i="3"/>
  <c r="G178" i="3"/>
  <c r="G172" i="3"/>
  <c r="E135" i="3"/>
  <c r="G135" i="3" s="1"/>
  <c r="G117" i="3"/>
  <c r="G108" i="3"/>
  <c r="G98" i="3"/>
  <c r="G91" i="3"/>
  <c r="G72" i="3"/>
  <c r="G56" i="3"/>
  <c r="H39" i="3"/>
  <c r="H18" i="3"/>
  <c r="H11" i="3"/>
  <c r="D1324" i="2"/>
  <c r="D1323" i="2"/>
  <c r="E1322" i="2"/>
  <c r="G1322" i="2" s="1"/>
  <c r="G1321" i="2"/>
  <c r="D1320" i="2"/>
  <c r="G1320" i="2" s="1"/>
  <c r="G1319" i="2"/>
  <c r="D1319" i="2"/>
  <c r="D1318" i="2"/>
  <c r="G1318" i="2" s="1"/>
  <c r="G1317" i="2"/>
  <c r="G1316" i="2"/>
  <c r="G1315" i="2"/>
  <c r="G1314" i="2"/>
  <c r="G1313" i="2"/>
  <c r="E1313" i="2"/>
  <c r="G1312" i="2"/>
  <c r="E1311" i="2"/>
  <c r="G1311" i="2" s="1"/>
  <c r="G1310" i="2"/>
  <c r="G1309" i="2"/>
  <c r="G1308" i="2"/>
  <c r="G1307" i="2"/>
  <c r="E1307" i="2"/>
  <c r="G1306" i="2"/>
  <c r="E1305" i="2"/>
  <c r="G1305" i="2" s="1"/>
  <c r="D1304" i="2"/>
  <c r="G1304" i="2" s="1"/>
  <c r="E1303" i="2"/>
  <c r="G1303" i="2" s="1"/>
  <c r="G1302" i="2"/>
  <c r="G1301" i="2"/>
  <c r="G1300" i="2"/>
  <c r="G1299" i="2"/>
  <c r="D1293" i="2"/>
  <c r="G1290" i="2"/>
  <c r="D1289" i="2"/>
  <c r="G1289" i="2" s="1"/>
  <c r="D1288" i="2"/>
  <c r="G1288" i="2" s="1"/>
  <c r="G1287" i="2"/>
  <c r="G1286" i="2"/>
  <c r="G1285" i="2"/>
  <c r="G1284" i="2"/>
  <c r="E1283" i="2"/>
  <c r="G1283" i="2" s="1"/>
  <c r="G1282" i="2"/>
  <c r="G1281" i="2"/>
  <c r="E1280" i="2"/>
  <c r="G1280" i="2" s="1"/>
  <c r="E1279" i="2"/>
  <c r="E1278" i="2"/>
  <c r="G1278" i="2" s="1"/>
  <c r="E1277" i="2"/>
  <c r="G1276" i="2"/>
  <c r="E1276" i="2"/>
  <c r="E1291" i="2" s="1"/>
  <c r="E1275" i="2"/>
  <c r="G1274" i="2"/>
  <c r="E1274" i="2"/>
  <c r="E1273" i="2"/>
  <c r="D1273" i="2"/>
  <c r="G1272" i="2"/>
  <c r="G1271" i="2"/>
  <c r="G1270" i="2"/>
  <c r="G1269" i="2"/>
  <c r="E1269" i="2"/>
  <c r="G1268" i="2"/>
  <c r="D1267" i="2"/>
  <c r="G1267" i="2" s="1"/>
  <c r="G1266" i="2"/>
  <c r="G1265" i="2"/>
  <c r="G1264" i="2"/>
  <c r="G1263" i="2"/>
  <c r="D1257" i="2"/>
  <c r="G1255" i="2"/>
  <c r="E1255" i="2"/>
  <c r="E1256" i="2" s="1"/>
  <c r="D1256" i="2" s="1"/>
  <c r="G1254" i="2"/>
  <c r="D1253" i="2"/>
  <c r="G1253" i="2" s="1"/>
  <c r="G1252" i="2"/>
  <c r="D1252" i="2"/>
  <c r="G1251" i="2"/>
  <c r="G1250" i="2"/>
  <c r="G1249" i="2"/>
  <c r="G1248" i="2"/>
  <c r="G1247" i="2"/>
  <c r="G1246" i="2"/>
  <c r="G1245" i="2"/>
  <c r="E1245" i="2"/>
  <c r="E1244" i="2"/>
  <c r="G1244" i="2" s="1"/>
  <c r="E1243" i="2"/>
  <c r="G1242" i="2"/>
  <c r="E1241" i="2"/>
  <c r="G1240" i="2"/>
  <c r="E1239" i="2"/>
  <c r="G1238" i="2"/>
  <c r="E1237" i="2"/>
  <c r="E1236" i="2"/>
  <c r="G1236" i="2" s="1"/>
  <c r="E1235" i="2"/>
  <c r="E1234" i="2"/>
  <c r="G1234" i="2" s="1"/>
  <c r="E1233" i="2"/>
  <c r="D1233" i="2"/>
  <c r="G1232" i="2"/>
  <c r="E1232" i="2"/>
  <c r="G1231" i="2"/>
  <c r="E1231" i="2"/>
  <c r="D1231" i="2"/>
  <c r="G1230" i="2"/>
  <c r="G1229" i="2"/>
  <c r="E1229" i="2"/>
  <c r="D1229" i="2"/>
  <c r="G1228" i="2"/>
  <c r="G1227" i="2"/>
  <c r="D1227" i="2"/>
  <c r="G1226" i="2"/>
  <c r="G1225" i="2"/>
  <c r="G1224" i="2"/>
  <c r="G1223" i="2"/>
  <c r="D1217" i="2"/>
  <c r="E1216" i="2"/>
  <c r="D1216" i="2" s="1"/>
  <c r="E1215" i="2"/>
  <c r="G1215" i="2" s="1"/>
  <c r="D1214" i="2"/>
  <c r="G1214" i="2" s="1"/>
  <c r="D1213" i="2"/>
  <c r="G1213" i="2" s="1"/>
  <c r="D1212" i="2"/>
  <c r="G1212" i="2" s="1"/>
  <c r="D1211" i="2"/>
  <c r="G1211" i="2" s="1"/>
  <c r="D1210" i="2"/>
  <c r="G1210" i="2" s="1"/>
  <c r="D1209" i="2"/>
  <c r="G1209" i="2" s="1"/>
  <c r="G1208" i="2"/>
  <c r="D1208" i="2"/>
  <c r="E1207" i="2"/>
  <c r="G1206" i="2"/>
  <c r="E1205" i="2"/>
  <c r="G1204" i="2"/>
  <c r="E1203" i="2"/>
  <c r="G1202" i="2"/>
  <c r="E1201" i="2"/>
  <c r="D1201" i="2"/>
  <c r="G1200" i="2"/>
  <c r="E1199" i="2"/>
  <c r="D1199" i="2"/>
  <c r="G1198" i="2"/>
  <c r="E1198" i="2"/>
  <c r="E1197" i="2"/>
  <c r="G1197" i="2" s="1"/>
  <c r="G1196" i="2"/>
  <c r="G1195" i="2"/>
  <c r="G1194" i="2"/>
  <c r="G1193" i="2"/>
  <c r="G1192" i="2"/>
  <c r="G1191" i="2"/>
  <c r="D1185" i="2"/>
  <c r="E1183" i="2"/>
  <c r="D1182" i="2"/>
  <c r="G1182" i="2" s="1"/>
  <c r="D1181" i="2"/>
  <c r="G1181" i="2" s="1"/>
  <c r="D1180" i="2"/>
  <c r="G1180" i="2" s="1"/>
  <c r="G1179" i="2"/>
  <c r="D1179" i="2"/>
  <c r="D1178" i="2"/>
  <c r="G1178" i="2" s="1"/>
  <c r="G1177" i="2"/>
  <c r="D1177" i="2"/>
  <c r="D1176" i="2"/>
  <c r="G1176" i="2" s="1"/>
  <c r="E1175" i="2"/>
  <c r="G1174" i="2"/>
  <c r="E1173" i="2"/>
  <c r="G1172" i="2"/>
  <c r="G1171" i="2"/>
  <c r="E1171" i="2"/>
  <c r="D1171" i="2"/>
  <c r="G1170" i="2"/>
  <c r="G1169" i="2"/>
  <c r="E1169" i="2"/>
  <c r="D1169" i="2"/>
  <c r="D1173" i="2" s="1"/>
  <c r="G1173" i="2" s="1"/>
  <c r="G1168" i="2"/>
  <c r="G1167" i="2"/>
  <c r="E1167" i="2"/>
  <c r="D1167" i="2"/>
  <c r="D1175" i="2" s="1"/>
  <c r="G1175" i="2" s="1"/>
  <c r="G1166" i="2"/>
  <c r="E1166" i="2"/>
  <c r="G1165" i="2"/>
  <c r="E1165" i="2"/>
  <c r="G1164" i="2"/>
  <c r="G1163" i="2"/>
  <c r="G1162" i="2"/>
  <c r="G1161" i="2"/>
  <c r="G1160" i="2"/>
  <c r="E1160" i="2"/>
  <c r="G1159" i="2"/>
  <c r="E1150" i="2"/>
  <c r="D1150" i="2" s="1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E1137" i="2"/>
  <c r="D1137" i="2"/>
  <c r="G1137" i="2" s="1"/>
  <c r="G1136" i="2"/>
  <c r="E1135" i="2"/>
  <c r="D1135" i="2"/>
  <c r="G1135" i="2" s="1"/>
  <c r="F1134" i="2"/>
  <c r="G1134" i="2" s="1"/>
  <c r="G1133" i="2"/>
  <c r="G1132" i="2"/>
  <c r="G1131" i="2"/>
  <c r="G1130" i="2"/>
  <c r="G1152" i="2" s="1"/>
  <c r="H1152" i="2" s="1"/>
  <c r="G1129" i="2"/>
  <c r="G1128" i="2"/>
  <c r="G1123" i="2"/>
  <c r="G1122" i="2"/>
  <c r="G1121" i="2"/>
  <c r="G1120" i="2"/>
  <c r="G1113" i="2"/>
  <c r="D1112" i="2"/>
  <c r="G1112" i="2" s="1"/>
  <c r="G1111" i="2"/>
  <c r="G1110" i="2"/>
  <c r="G1109" i="2"/>
  <c r="G1107" i="2"/>
  <c r="G1106" i="2"/>
  <c r="D1105" i="2"/>
  <c r="G1105" i="2" s="1"/>
  <c r="G1104" i="2"/>
  <c r="G1103" i="2"/>
  <c r="D1102" i="2"/>
  <c r="G1102" i="2" s="1"/>
  <c r="G1108" i="2" s="1"/>
  <c r="G1101" i="2"/>
  <c r="D1100" i="2"/>
  <c r="G1100" i="2" s="1"/>
  <c r="G1099" i="2"/>
  <c r="G1097" i="2"/>
  <c r="D1096" i="2"/>
  <c r="G1096" i="2" s="1"/>
  <c r="G1095" i="2"/>
  <c r="G1094" i="2"/>
  <c r="G1093" i="2"/>
  <c r="F1091" i="2"/>
  <c r="E1091" i="2"/>
  <c r="D1091" i="2"/>
  <c r="G1090" i="2"/>
  <c r="G1089" i="2"/>
  <c r="D1089" i="2"/>
  <c r="G1088" i="2"/>
  <c r="G1087" i="2"/>
  <c r="G1086" i="2"/>
  <c r="G1085" i="2"/>
  <c r="G1084" i="2"/>
  <c r="G1083" i="2"/>
  <c r="G1081" i="2"/>
  <c r="G1080" i="2"/>
  <c r="G1079" i="2"/>
  <c r="G1078" i="2"/>
  <c r="D1078" i="2"/>
  <c r="G1077" i="2"/>
  <c r="D1077" i="2"/>
  <c r="G1076" i="2"/>
  <c r="D1076" i="2"/>
  <c r="G1075" i="2"/>
  <c r="G1074" i="2"/>
  <c r="G1072" i="2"/>
  <c r="D1071" i="2"/>
  <c r="G1070" i="2"/>
  <c r="D1070" i="2"/>
  <c r="G1069" i="2"/>
  <c r="G1068" i="2"/>
  <c r="E1068" i="2"/>
  <c r="G1067" i="2"/>
  <c r="D1061" i="2"/>
  <c r="E1060" i="2"/>
  <c r="D1060" i="2" s="1"/>
  <c r="G1059" i="2"/>
  <c r="G1058" i="2"/>
  <c r="G1057" i="2"/>
  <c r="E1057" i="2"/>
  <c r="E1056" i="2"/>
  <c r="G1056" i="2" s="1"/>
  <c r="G1055" i="2"/>
  <c r="E1054" i="2"/>
  <c r="G1054" i="2" s="1"/>
  <c r="G1053" i="2"/>
  <c r="G1052" i="2"/>
  <c r="E1052" i="2"/>
  <c r="G1051" i="2"/>
  <c r="E1050" i="2"/>
  <c r="G1050" i="2" s="1"/>
  <c r="D1049" i="2"/>
  <c r="G1049" i="2" s="1"/>
  <c r="G1048" i="2"/>
  <c r="E1048" i="2"/>
  <c r="G1047" i="2"/>
  <c r="G1046" i="2"/>
  <c r="G1045" i="2"/>
  <c r="G1044" i="2"/>
  <c r="D1039" i="2"/>
  <c r="G1038" i="2"/>
  <c r="G1041" i="2" s="1"/>
  <c r="H1041" i="2" s="1"/>
  <c r="G1037" i="2"/>
  <c r="G1032" i="2"/>
  <c r="G1034" i="2" s="1"/>
  <c r="H1034" i="2" s="1"/>
  <c r="G1031" i="2"/>
  <c r="G1030" i="2"/>
  <c r="D1024" i="2"/>
  <c r="G1021" i="2"/>
  <c r="G1020" i="2"/>
  <c r="G1019" i="2"/>
  <c r="E1018" i="2"/>
  <c r="G1017" i="2"/>
  <c r="G1016" i="2"/>
  <c r="G1015" i="2"/>
  <c r="G1014" i="2"/>
  <c r="G1013" i="2"/>
  <c r="G1012" i="2"/>
  <c r="D1006" i="2"/>
  <c r="G1004" i="2"/>
  <c r="E1004" i="2"/>
  <c r="E1005" i="2" s="1"/>
  <c r="D1005" i="2" s="1"/>
  <c r="G1003" i="2"/>
  <c r="G1002" i="2"/>
  <c r="G1001" i="2"/>
  <c r="G1000" i="2"/>
  <c r="E999" i="2"/>
  <c r="G999" i="2" s="1"/>
  <c r="G998" i="2"/>
  <c r="G997" i="2"/>
  <c r="G996" i="2"/>
  <c r="G995" i="2"/>
  <c r="G994" i="2"/>
  <c r="G993" i="2"/>
  <c r="G1008" i="2" s="1"/>
  <c r="H1008" i="2" s="1"/>
  <c r="G988" i="2"/>
  <c r="G987" i="2"/>
  <c r="G986" i="2"/>
  <c r="G985" i="2"/>
  <c r="G989" i="2" s="1"/>
  <c r="H989" i="2" s="1"/>
  <c r="G984" i="2"/>
  <c r="D978" i="2"/>
  <c r="E977" i="2"/>
  <c r="D977" i="2" s="1"/>
  <c r="E975" i="2"/>
  <c r="E976" i="2" s="1"/>
  <c r="G976" i="2" s="1"/>
  <c r="G966" i="2"/>
  <c r="G961" i="2"/>
  <c r="D961" i="2"/>
  <c r="G960" i="2"/>
  <c r="G959" i="2"/>
  <c r="G958" i="2"/>
  <c r="G957" i="2"/>
  <c r="D956" i="2"/>
  <c r="G956" i="2" s="1"/>
  <c r="G955" i="2"/>
  <c r="G954" i="2"/>
  <c r="D953" i="2"/>
  <c r="G953" i="2" s="1"/>
  <c r="G952" i="2"/>
  <c r="D951" i="2"/>
  <c r="G951" i="2" s="1"/>
  <c r="G950" i="2"/>
  <c r="G949" i="2"/>
  <c r="D949" i="2"/>
  <c r="G948" i="2"/>
  <c r="G947" i="2"/>
  <c r="G946" i="2"/>
  <c r="D945" i="2"/>
  <c r="G945" i="2" s="1"/>
  <c r="G944" i="2"/>
  <c r="G943" i="2"/>
  <c r="G942" i="2"/>
  <c r="G941" i="2"/>
  <c r="E941" i="2"/>
  <c r="D941" i="2"/>
  <c r="E940" i="2"/>
  <c r="G940" i="2" s="1"/>
  <c r="G939" i="2"/>
  <c r="D939" i="2"/>
  <c r="G938" i="2"/>
  <c r="G937" i="2"/>
  <c r="G936" i="2"/>
  <c r="D936" i="2"/>
  <c r="G935" i="2"/>
  <c r="G934" i="2"/>
  <c r="G933" i="2"/>
  <c r="G932" i="2"/>
  <c r="G931" i="2"/>
  <c r="G930" i="2"/>
  <c r="G929" i="2"/>
  <c r="G928" i="2"/>
  <c r="D928" i="2"/>
  <c r="G927" i="2"/>
  <c r="G926" i="2"/>
  <c r="G925" i="2"/>
  <c r="G924" i="2"/>
  <c r="G923" i="2"/>
  <c r="G922" i="2"/>
  <c r="G921" i="2"/>
  <c r="G920" i="2"/>
  <c r="D919" i="2"/>
  <c r="G919" i="2" s="1"/>
  <c r="G918" i="2"/>
  <c r="D918" i="2"/>
  <c r="D917" i="2"/>
  <c r="G917" i="2" s="1"/>
  <c r="G916" i="2"/>
  <c r="G915" i="2"/>
  <c r="D914" i="2"/>
  <c r="G914" i="2" s="1"/>
  <c r="G913" i="2"/>
  <c r="D911" i="2"/>
  <c r="D912" i="2" s="1"/>
  <c r="G912" i="2" s="1"/>
  <c r="G910" i="2"/>
  <c r="G909" i="2"/>
  <c r="G908" i="2"/>
  <c r="G907" i="2"/>
  <c r="D905" i="2"/>
  <c r="D904" i="2"/>
  <c r="G904" i="2" s="1"/>
  <c r="G903" i="2"/>
  <c r="G902" i="2"/>
  <c r="G901" i="2"/>
  <c r="G900" i="2"/>
  <c r="D900" i="2"/>
  <c r="G899" i="2"/>
  <c r="G898" i="2"/>
  <c r="G897" i="2"/>
  <c r="D891" i="2"/>
  <c r="E890" i="2"/>
  <c r="D890" i="2" s="1"/>
  <c r="G889" i="2"/>
  <c r="G888" i="2"/>
  <c r="G887" i="2"/>
  <c r="D887" i="2"/>
  <c r="G886" i="2"/>
  <c r="D886" i="2"/>
  <c r="G885" i="2"/>
  <c r="E884" i="2"/>
  <c r="G884" i="2" s="1"/>
  <c r="E883" i="2"/>
  <c r="G883" i="2" s="1"/>
  <c r="G882" i="2"/>
  <c r="G881" i="2"/>
  <c r="E880" i="2"/>
  <c r="G880" i="2" s="1"/>
  <c r="G879" i="2"/>
  <c r="G878" i="2"/>
  <c r="E878" i="2"/>
  <c r="G877" i="2"/>
  <c r="E876" i="2"/>
  <c r="D875" i="2"/>
  <c r="G875" i="2" s="1"/>
  <c r="G873" i="2"/>
  <c r="E872" i="2"/>
  <c r="D871" i="2"/>
  <c r="G871" i="2" s="1"/>
  <c r="E870" i="2"/>
  <c r="D870" i="2"/>
  <c r="G869" i="2"/>
  <c r="G868" i="2"/>
  <c r="G867" i="2"/>
  <c r="G866" i="2"/>
  <c r="D860" i="2"/>
  <c r="E859" i="2"/>
  <c r="D859" i="2"/>
  <c r="G858" i="2"/>
  <c r="G857" i="2"/>
  <c r="D856" i="2"/>
  <c r="G856" i="2" s="1"/>
  <c r="G855" i="2"/>
  <c r="G854" i="2"/>
  <c r="G853" i="2"/>
  <c r="G852" i="2"/>
  <c r="G851" i="2"/>
  <c r="E851" i="2"/>
  <c r="G850" i="2"/>
  <c r="G849" i="2"/>
  <c r="G848" i="2"/>
  <c r="E848" i="2"/>
  <c r="G847" i="2"/>
  <c r="E846" i="2"/>
  <c r="E845" i="2"/>
  <c r="G845" i="2" s="1"/>
  <c r="E844" i="2"/>
  <c r="E843" i="2"/>
  <c r="G843" i="2" s="1"/>
  <c r="E842" i="2"/>
  <c r="G841" i="2"/>
  <c r="E841" i="2"/>
  <c r="E839" i="2"/>
  <c r="G837" i="2"/>
  <c r="G836" i="2"/>
  <c r="E836" i="2"/>
  <c r="D836" i="2"/>
  <c r="D838" i="2" s="1"/>
  <c r="D835" i="2"/>
  <c r="G835" i="2" s="1"/>
  <c r="G834" i="2"/>
  <c r="E834" i="2"/>
  <c r="D834" i="2"/>
  <c r="G833" i="2"/>
  <c r="G832" i="2"/>
  <c r="G831" i="2"/>
  <c r="G830" i="2"/>
  <c r="D824" i="2"/>
  <c r="E823" i="2"/>
  <c r="D823" i="2"/>
  <c r="G822" i="2"/>
  <c r="G821" i="2"/>
  <c r="D820" i="2"/>
  <c r="G820" i="2" s="1"/>
  <c r="G819" i="2"/>
  <c r="E819" i="2"/>
  <c r="G818" i="2"/>
  <c r="G817" i="2"/>
  <c r="G816" i="2"/>
  <c r="G815" i="2"/>
  <c r="E814" i="2"/>
  <c r="G814" i="2" s="1"/>
  <c r="E813" i="2"/>
  <c r="G813" i="2" s="1"/>
  <c r="G812" i="2"/>
  <c r="G811" i="2"/>
  <c r="E810" i="2"/>
  <c r="G809" i="2"/>
  <c r="E809" i="2"/>
  <c r="G807" i="2"/>
  <c r="E807" i="2"/>
  <c r="E808" i="2" s="1"/>
  <c r="E806" i="2"/>
  <c r="G805" i="2"/>
  <c r="E805" i="2"/>
  <c r="E804" i="2"/>
  <c r="E803" i="2"/>
  <c r="G803" i="2" s="1"/>
  <c r="E802" i="2"/>
  <c r="G801" i="2"/>
  <c r="E801" i="2"/>
  <c r="G799" i="2"/>
  <c r="E799" i="2"/>
  <c r="E800" i="2" s="1"/>
  <c r="G797" i="2"/>
  <c r="E796" i="2"/>
  <c r="G795" i="2"/>
  <c r="D795" i="2"/>
  <c r="E794" i="2"/>
  <c r="D794" i="2"/>
  <c r="G794" i="2" s="1"/>
  <c r="G793" i="2"/>
  <c r="G792" i="2"/>
  <c r="G791" i="2"/>
  <c r="G790" i="2"/>
  <c r="G784" i="2"/>
  <c r="D784" i="2" s="1"/>
  <c r="E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E760" i="2"/>
  <c r="G759" i="2"/>
  <c r="G758" i="2"/>
  <c r="G757" i="2"/>
  <c r="E756" i="2"/>
  <c r="G756" i="2" s="1"/>
  <c r="G755" i="2"/>
  <c r="E754" i="2"/>
  <c r="D754" i="2"/>
  <c r="G754" i="2" s="1"/>
  <c r="G753" i="2"/>
  <c r="F753" i="2"/>
  <c r="E752" i="2"/>
  <c r="G752" i="2" s="1"/>
  <c r="G751" i="2"/>
  <c r="G750" i="2"/>
  <c r="G749" i="2"/>
  <c r="E748" i="2"/>
  <c r="G748" i="2" s="1"/>
  <c r="G747" i="2"/>
  <c r="E746" i="2"/>
  <c r="G746" i="2" s="1"/>
  <c r="G745" i="2"/>
  <c r="E744" i="2"/>
  <c r="G744" i="2" s="1"/>
  <c r="G743" i="2"/>
  <c r="G742" i="2"/>
  <c r="G741" i="2"/>
  <c r="G740" i="2"/>
  <c r="G739" i="2"/>
  <c r="E738" i="2"/>
  <c r="G738" i="2" s="1"/>
  <c r="G737" i="2"/>
  <c r="E736" i="2"/>
  <c r="G736" i="2" s="1"/>
  <c r="G735" i="2"/>
  <c r="G734" i="2"/>
  <c r="E734" i="2"/>
  <c r="G733" i="2"/>
  <c r="G732" i="2"/>
  <c r="G726" i="2"/>
  <c r="G725" i="2"/>
  <c r="G724" i="2"/>
  <c r="G723" i="2"/>
  <c r="G722" i="2"/>
  <c r="G721" i="2"/>
  <c r="G720" i="2"/>
  <c r="G719" i="2"/>
  <c r="G718" i="2"/>
  <c r="G713" i="2"/>
  <c r="G712" i="2"/>
  <c r="G711" i="2"/>
  <c r="E711" i="2"/>
  <c r="E710" i="2"/>
  <c r="G710" i="2" s="1"/>
  <c r="G709" i="2"/>
  <c r="G708" i="2"/>
  <c r="G704" i="2"/>
  <c r="G703" i="2"/>
  <c r="E703" i="2"/>
  <c r="G702" i="2"/>
  <c r="E702" i="2"/>
  <c r="G701" i="2"/>
  <c r="E701" i="2"/>
  <c r="G700" i="2"/>
  <c r="G705" i="2" s="1"/>
  <c r="G699" i="2"/>
  <c r="G696" i="2"/>
  <c r="G695" i="2"/>
  <c r="G694" i="2"/>
  <c r="E694" i="2"/>
  <c r="G693" i="2"/>
  <c r="G692" i="2"/>
  <c r="G691" i="2"/>
  <c r="G697" i="2" s="1"/>
  <c r="G688" i="2"/>
  <c r="E687" i="2"/>
  <c r="G687" i="2" s="1"/>
  <c r="G689" i="2" s="1"/>
  <c r="G686" i="2"/>
  <c r="E686" i="2"/>
  <c r="G685" i="2"/>
  <c r="G684" i="2"/>
  <c r="G683" i="2"/>
  <c r="G682" i="2"/>
  <c r="G678" i="2"/>
  <c r="G677" i="2"/>
  <c r="G676" i="2"/>
  <c r="G675" i="2"/>
  <c r="G674" i="2"/>
  <c r="D673" i="2"/>
  <c r="G673" i="2" s="1"/>
  <c r="D672" i="2"/>
  <c r="G672" i="2" s="1"/>
  <c r="G667" i="2"/>
  <c r="G662" i="2"/>
  <c r="G660" i="2"/>
  <c r="G658" i="2"/>
  <c r="D654" i="2"/>
  <c r="D653" i="2"/>
  <c r="E652" i="2"/>
  <c r="G652" i="2" s="1"/>
  <c r="E651" i="2"/>
  <c r="G650" i="2"/>
  <c r="E649" i="2"/>
  <c r="E650" i="2" s="1"/>
  <c r="E648" i="2"/>
  <c r="G648" i="2" s="1"/>
  <c r="E647" i="2"/>
  <c r="E646" i="2"/>
  <c r="G646" i="2" s="1"/>
  <c r="E645" i="2"/>
  <c r="E644" i="2"/>
  <c r="G644" i="2" s="1"/>
  <c r="E642" i="2"/>
  <c r="G642" i="2" s="1"/>
  <c r="D641" i="2"/>
  <c r="G640" i="2"/>
  <c r="E638" i="2"/>
  <c r="G638" i="2" s="1"/>
  <c r="G637" i="2"/>
  <c r="D637" i="2"/>
  <c r="D639" i="2" s="1"/>
  <c r="G639" i="2" s="1"/>
  <c r="E636" i="2"/>
  <c r="G636" i="2" s="1"/>
  <c r="G635" i="2"/>
  <c r="G634" i="2"/>
  <c r="G633" i="2"/>
  <c r="G632" i="2"/>
  <c r="G627" i="2"/>
  <c r="G626" i="2"/>
  <c r="E626" i="2"/>
  <c r="E625" i="2"/>
  <c r="G625" i="2" s="1"/>
  <c r="G624" i="2"/>
  <c r="E624" i="2"/>
  <c r="G623" i="2"/>
  <c r="G622" i="2"/>
  <c r="G621" i="2"/>
  <c r="D620" i="2"/>
  <c r="G620" i="2" s="1"/>
  <c r="G619" i="2"/>
  <c r="G618" i="2"/>
  <c r="G629" i="2" s="1"/>
  <c r="G615" i="2"/>
  <c r="E614" i="2"/>
  <c r="G614" i="2" s="1"/>
  <c r="G613" i="2"/>
  <c r="G612" i="2"/>
  <c r="E612" i="2"/>
  <c r="G611" i="2"/>
  <c r="G610" i="2"/>
  <c r="G609" i="2"/>
  <c r="G608" i="2"/>
  <c r="G607" i="2"/>
  <c r="G603" i="2"/>
  <c r="G602" i="2"/>
  <c r="G601" i="2"/>
  <c r="E601" i="2"/>
  <c r="G600" i="2"/>
  <c r="G599" i="2"/>
  <c r="E599" i="2"/>
  <c r="G597" i="2"/>
  <c r="D596" i="2"/>
  <c r="G596" i="2" s="1"/>
  <c r="G595" i="2"/>
  <c r="D595" i="2"/>
  <c r="G594" i="2"/>
  <c r="G593" i="2"/>
  <c r="G592" i="2"/>
  <c r="G588" i="2"/>
  <c r="G590" i="2" s="1"/>
  <c r="H590" i="2" s="1"/>
  <c r="G584" i="2"/>
  <c r="G583" i="2"/>
  <c r="G582" i="2"/>
  <c r="D581" i="2"/>
  <c r="G581" i="2" s="1"/>
  <c r="G580" i="2"/>
  <c r="G579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76" i="2" s="1"/>
  <c r="H576" i="2" s="1"/>
  <c r="H561" i="2"/>
  <c r="G560" i="2"/>
  <c r="D559" i="2"/>
  <c r="G559" i="2" s="1"/>
  <c r="G558" i="2"/>
  <c r="D558" i="2"/>
  <c r="G557" i="2"/>
  <c r="G556" i="2"/>
  <c r="D556" i="2"/>
  <c r="D555" i="2"/>
  <c r="G555" i="2" s="1"/>
  <c r="D554" i="2"/>
  <c r="G554" i="2" s="1"/>
  <c r="G553" i="2"/>
  <c r="D552" i="2"/>
  <c r="G552" i="2" s="1"/>
  <c r="G551" i="2"/>
  <c r="D551" i="2"/>
  <c r="D550" i="2"/>
  <c r="G550" i="2" s="1"/>
  <c r="G549" i="2"/>
  <c r="D548" i="2"/>
  <c r="G548" i="2" s="1"/>
  <c r="D547" i="2"/>
  <c r="G547" i="2" s="1"/>
  <c r="G546" i="2"/>
  <c r="K545" i="2"/>
  <c r="G545" i="2"/>
  <c r="G544" i="2"/>
  <c r="K543" i="2"/>
  <c r="G543" i="2"/>
  <c r="K542" i="2"/>
  <c r="G541" i="2"/>
  <c r="G540" i="2"/>
  <c r="G539" i="2"/>
  <c r="K538" i="2"/>
  <c r="G538" i="2"/>
  <c r="K537" i="2"/>
  <c r="G537" i="2"/>
  <c r="K536" i="2"/>
  <c r="G536" i="2"/>
  <c r="G532" i="2"/>
  <c r="G531" i="2"/>
  <c r="D531" i="2"/>
  <c r="G530" i="2"/>
  <c r="G533" i="2" s="1"/>
  <c r="H533" i="2" s="1"/>
  <c r="E530" i="2"/>
  <c r="G526" i="2"/>
  <c r="G525" i="2"/>
  <c r="G524" i="2"/>
  <c r="G523" i="2"/>
  <c r="G522" i="2"/>
  <c r="G521" i="2"/>
  <c r="G520" i="2"/>
  <c r="G519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16" i="2" s="1"/>
  <c r="H516" i="2" s="1"/>
  <c r="G503" i="2"/>
  <c r="G500" i="2"/>
  <c r="G499" i="2"/>
  <c r="G501" i="2" s="1"/>
  <c r="H501" i="2" s="1"/>
  <c r="G498" i="2"/>
  <c r="G495" i="2"/>
  <c r="G494" i="2"/>
  <c r="G493" i="2"/>
  <c r="G492" i="2"/>
  <c r="G491" i="2"/>
  <c r="G496" i="2" s="1"/>
  <c r="H496" i="2" s="1"/>
  <c r="G487" i="2"/>
  <c r="G486" i="2"/>
  <c r="G485" i="2"/>
  <c r="G484" i="2"/>
  <c r="G489" i="2" s="1"/>
  <c r="H489" i="2" s="1"/>
  <c r="G481" i="2"/>
  <c r="G480" i="2"/>
  <c r="G479" i="2"/>
  <c r="G478" i="2"/>
  <c r="G471" i="2"/>
  <c r="E470" i="2"/>
  <c r="G470" i="2" s="1"/>
  <c r="G468" i="2"/>
  <c r="D467" i="2"/>
  <c r="G467" i="2" s="1"/>
  <c r="G466" i="2"/>
  <c r="G465" i="2"/>
  <c r="G482" i="2" s="1"/>
  <c r="H482" i="2" s="1"/>
  <c r="G464" i="2"/>
  <c r="G459" i="2"/>
  <c r="G458" i="2"/>
  <c r="G457" i="2"/>
  <c r="G456" i="2"/>
  <c r="G455" i="2"/>
  <c r="D453" i="2"/>
  <c r="G453" i="2" s="1"/>
  <c r="G452" i="2"/>
  <c r="D452" i="2"/>
  <c r="E451" i="2"/>
  <c r="G451" i="2" s="1"/>
  <c r="G450" i="2"/>
  <c r="E450" i="2"/>
  <c r="E449" i="2"/>
  <c r="G449" i="2" s="1"/>
  <c r="E448" i="2"/>
  <c r="G448" i="2" s="1"/>
  <c r="E447" i="2"/>
  <c r="G447" i="2" s="1"/>
  <c r="E446" i="2"/>
  <c r="G446" i="2" s="1"/>
  <c r="E445" i="2"/>
  <c r="G445" i="2" s="1"/>
  <c r="G444" i="2"/>
  <c r="E444" i="2"/>
  <c r="E443" i="2"/>
  <c r="G443" i="2" s="1"/>
  <c r="E442" i="2"/>
  <c r="G442" i="2" s="1"/>
  <c r="E441" i="2"/>
  <c r="G441" i="2" s="1"/>
  <c r="E440" i="2"/>
  <c r="G440" i="2" s="1"/>
  <c r="E439" i="2"/>
  <c r="G439" i="2" s="1"/>
  <c r="E438" i="2"/>
  <c r="G438" i="2" s="1"/>
  <c r="E437" i="2"/>
  <c r="G437" i="2" s="1"/>
  <c r="G436" i="2"/>
  <c r="E436" i="2"/>
  <c r="E435" i="2"/>
  <c r="G435" i="2" s="1"/>
  <c r="E434" i="2"/>
  <c r="G434" i="2" s="1"/>
  <c r="E433" i="2"/>
  <c r="G433" i="2" s="1"/>
  <c r="E430" i="2"/>
  <c r="E431" i="2" s="1"/>
  <c r="G431" i="2" s="1"/>
  <c r="G429" i="2"/>
  <c r="E428" i="2"/>
  <c r="E429" i="2" s="1"/>
  <c r="E425" i="2"/>
  <c r="G425" i="2" s="1"/>
  <c r="E424" i="2"/>
  <c r="E423" i="2"/>
  <c r="G423" i="2" s="1"/>
  <c r="E422" i="2"/>
  <c r="E420" i="2"/>
  <c r="G420" i="2" s="1"/>
  <c r="D419" i="2"/>
  <c r="E418" i="2"/>
  <c r="G418" i="2" s="1"/>
  <c r="D417" i="2"/>
  <c r="G417" i="2" s="1"/>
  <c r="G415" i="2"/>
  <c r="E413" i="2"/>
  <c r="G413" i="2" s="1"/>
  <c r="G412" i="2"/>
  <c r="D412" i="2"/>
  <c r="D414" i="2" s="1"/>
  <c r="G414" i="2" s="1"/>
  <c r="E411" i="2"/>
  <c r="G411" i="2" s="1"/>
  <c r="G410" i="2"/>
  <c r="G409" i="2"/>
  <c r="G408" i="2"/>
  <c r="G407" i="2"/>
  <c r="G403" i="2"/>
  <c r="G402" i="2"/>
  <c r="G401" i="2"/>
  <c r="D400" i="2"/>
  <c r="G400" i="2" s="1"/>
  <c r="G399" i="2"/>
  <c r="G398" i="2"/>
  <c r="G394" i="2"/>
  <c r="G393" i="2"/>
  <c r="G392" i="2"/>
  <c r="G391" i="2"/>
  <c r="G396" i="2" s="1"/>
  <c r="H396" i="2" s="1"/>
  <c r="D391" i="2"/>
  <c r="G390" i="2"/>
  <c r="G389" i="2"/>
  <c r="G385" i="2"/>
  <c r="G384" i="2"/>
  <c r="G383" i="2"/>
  <c r="G382" i="2"/>
  <c r="D382" i="2"/>
  <c r="G381" i="2"/>
  <c r="G380" i="2"/>
  <c r="G387" i="2" s="1"/>
  <c r="H387" i="2" s="1"/>
  <c r="G376" i="2"/>
  <c r="G375" i="2"/>
  <c r="G374" i="2"/>
  <c r="G373" i="2"/>
  <c r="G371" i="2"/>
  <c r="D370" i="2"/>
  <c r="G370" i="2" s="1"/>
  <c r="G368" i="2"/>
  <c r="E368" i="2"/>
  <c r="E367" i="2"/>
  <c r="G367" i="2" s="1"/>
  <c r="G366" i="2"/>
  <c r="E366" i="2"/>
  <c r="E365" i="2"/>
  <c r="G365" i="2" s="1"/>
  <c r="G364" i="2"/>
  <c r="E364" i="2"/>
  <c r="E363" i="2"/>
  <c r="G363" i="2" s="1"/>
  <c r="G362" i="2"/>
  <c r="E362" i="2"/>
  <c r="E361" i="2"/>
  <c r="G361" i="2" s="1"/>
  <c r="G360" i="2"/>
  <c r="E360" i="2"/>
  <c r="E359" i="2"/>
  <c r="G359" i="2" s="1"/>
  <c r="G358" i="2"/>
  <c r="E358" i="2"/>
  <c r="E357" i="2"/>
  <c r="G357" i="2" s="1"/>
  <c r="G356" i="2"/>
  <c r="E356" i="2"/>
  <c r="E355" i="2"/>
  <c r="G355" i="2" s="1"/>
  <c r="G354" i="2"/>
  <c r="E354" i="2"/>
  <c r="E353" i="2"/>
  <c r="G353" i="2" s="1"/>
  <c r="G352" i="2"/>
  <c r="E352" i="2"/>
  <c r="E351" i="2"/>
  <c r="G351" i="2" s="1"/>
  <c r="G350" i="2"/>
  <c r="E350" i="2"/>
  <c r="E348" i="2"/>
  <c r="G348" i="2" s="1"/>
  <c r="E347" i="2"/>
  <c r="E345" i="2"/>
  <c r="E346" i="2" s="1"/>
  <c r="G346" i="2" s="1"/>
  <c r="E342" i="2"/>
  <c r="E343" i="2" s="1"/>
  <c r="G343" i="2" s="1"/>
  <c r="D342" i="2"/>
  <c r="G342" i="2" s="1"/>
  <c r="E340" i="2"/>
  <c r="E341" i="2" s="1"/>
  <c r="G341" i="2" s="1"/>
  <c r="E338" i="2"/>
  <c r="G338" i="2" s="1"/>
  <c r="G336" i="2"/>
  <c r="D335" i="2"/>
  <c r="D340" i="2" s="1"/>
  <c r="G340" i="2" s="1"/>
  <c r="G333" i="2"/>
  <c r="D332" i="2"/>
  <c r="D337" i="2" s="1"/>
  <c r="G337" i="2" s="1"/>
  <c r="G331" i="2"/>
  <c r="G330" i="2"/>
  <c r="E329" i="2"/>
  <c r="G329" i="2" s="1"/>
  <c r="G328" i="2"/>
  <c r="G327" i="2"/>
  <c r="G326" i="2"/>
  <c r="G325" i="2"/>
  <c r="G321" i="2"/>
  <c r="G320" i="2"/>
  <c r="G319" i="2"/>
  <c r="G318" i="2"/>
  <c r="G317" i="2"/>
  <c r="G316" i="2"/>
  <c r="G315" i="2"/>
  <c r="G314" i="2"/>
  <c r="D313" i="2"/>
  <c r="G313" i="2" s="1"/>
  <c r="G312" i="2"/>
  <c r="G311" i="2"/>
  <c r="G307" i="2"/>
  <c r="G306" i="2"/>
  <c r="G305" i="2"/>
  <c r="G304" i="2"/>
  <c r="G303" i="2"/>
  <c r="G302" i="2"/>
  <c r="G301" i="2"/>
  <c r="G300" i="2"/>
  <c r="G299" i="2"/>
  <c r="D299" i="2"/>
  <c r="G298" i="2"/>
  <c r="G297" i="2"/>
  <c r="G309" i="2" s="1"/>
  <c r="H309" i="2" s="1"/>
  <c r="G293" i="2"/>
  <c r="G292" i="2"/>
  <c r="G291" i="2"/>
  <c r="G290" i="2"/>
  <c r="G289" i="2"/>
  <c r="D288" i="2"/>
  <c r="G288" i="2" s="1"/>
  <c r="D287" i="2"/>
  <c r="G287" i="2" s="1"/>
  <c r="G285" i="2"/>
  <c r="E285" i="2"/>
  <c r="E284" i="2"/>
  <c r="G284" i="2" s="1"/>
  <c r="E283" i="2"/>
  <c r="G283" i="2" s="1"/>
  <c r="E282" i="2"/>
  <c r="G282" i="2" s="1"/>
  <c r="E281" i="2"/>
  <c r="G281" i="2" s="1"/>
  <c r="E280" i="2"/>
  <c r="G280" i="2" s="1"/>
  <c r="E279" i="2"/>
  <c r="G279" i="2" s="1"/>
  <c r="E278" i="2"/>
  <c r="G278" i="2" s="1"/>
  <c r="G277" i="2"/>
  <c r="E277" i="2"/>
  <c r="E276" i="2"/>
  <c r="G276" i="2" s="1"/>
  <c r="E275" i="2"/>
  <c r="G275" i="2" s="1"/>
  <c r="E274" i="2"/>
  <c r="G274" i="2" s="1"/>
  <c r="E273" i="2"/>
  <c r="G273" i="2" s="1"/>
  <c r="E272" i="2"/>
  <c r="G272" i="2" s="1"/>
  <c r="E271" i="2"/>
  <c r="G271" i="2" s="1"/>
  <c r="E270" i="2"/>
  <c r="G270" i="2" s="1"/>
  <c r="G269" i="2"/>
  <c r="E269" i="2"/>
  <c r="E268" i="2"/>
  <c r="G268" i="2" s="1"/>
  <c r="E267" i="2"/>
  <c r="G267" i="2" s="1"/>
  <c r="E264" i="2"/>
  <c r="E265" i="2" s="1"/>
  <c r="G265" i="2" s="1"/>
  <c r="E263" i="2"/>
  <c r="G263" i="2" s="1"/>
  <c r="G262" i="2"/>
  <c r="G260" i="2"/>
  <c r="G259" i="2"/>
  <c r="E259" i="2"/>
  <c r="E260" i="2" s="1"/>
  <c r="D259" i="2"/>
  <c r="G258" i="2"/>
  <c r="G257" i="2"/>
  <c r="G255" i="2"/>
  <c r="E255" i="2"/>
  <c r="G254" i="2"/>
  <c r="G253" i="2"/>
  <c r="E253" i="2"/>
  <c r="G252" i="2"/>
  <c r="G250" i="2"/>
  <c r="G249" i="2"/>
  <c r="G248" i="2"/>
  <c r="E248" i="2"/>
  <c r="G247" i="2"/>
  <c r="G246" i="2"/>
  <c r="E246" i="2"/>
  <c r="G245" i="2"/>
  <c r="G244" i="2"/>
  <c r="G243" i="2"/>
  <c r="G242" i="2"/>
  <c r="G238" i="2"/>
  <c r="G237" i="2"/>
  <c r="G236" i="2"/>
  <c r="G235" i="2"/>
  <c r="G234" i="2"/>
  <c r="G233" i="2"/>
  <c r="G232" i="2"/>
  <c r="D232" i="2"/>
  <c r="D231" i="2"/>
  <c r="G231" i="2" s="1"/>
  <c r="G229" i="2"/>
  <c r="E229" i="2"/>
  <c r="E228" i="2"/>
  <c r="G228" i="2" s="1"/>
  <c r="G227" i="2"/>
  <c r="E227" i="2"/>
  <c r="E226" i="2"/>
  <c r="G226" i="2" s="1"/>
  <c r="G225" i="2"/>
  <c r="E225" i="2"/>
  <c r="E224" i="2"/>
  <c r="G224" i="2" s="1"/>
  <c r="G223" i="2"/>
  <c r="E223" i="2"/>
  <c r="E222" i="2"/>
  <c r="G222" i="2" s="1"/>
  <c r="G221" i="2"/>
  <c r="E221" i="2"/>
  <c r="E220" i="2"/>
  <c r="G220" i="2" s="1"/>
  <c r="G219" i="2"/>
  <c r="E219" i="2"/>
  <c r="E218" i="2"/>
  <c r="G218" i="2" s="1"/>
  <c r="G217" i="2"/>
  <c r="E217" i="2"/>
  <c r="E216" i="2"/>
  <c r="G216" i="2" s="1"/>
  <c r="G215" i="2"/>
  <c r="E215" i="2"/>
  <c r="E214" i="2"/>
  <c r="G214" i="2" s="1"/>
  <c r="G213" i="2"/>
  <c r="E213" i="2"/>
  <c r="E212" i="2"/>
  <c r="G212" i="2" s="1"/>
  <c r="G211" i="2"/>
  <c r="E211" i="2"/>
  <c r="E209" i="2"/>
  <c r="G209" i="2" s="1"/>
  <c r="E208" i="2"/>
  <c r="E207" i="2"/>
  <c r="G207" i="2" s="1"/>
  <c r="E206" i="2"/>
  <c r="G204" i="2"/>
  <c r="E203" i="2"/>
  <c r="E204" i="2" s="1"/>
  <c r="E202" i="2"/>
  <c r="G202" i="2" s="1"/>
  <c r="E201" i="2"/>
  <c r="E199" i="2"/>
  <c r="G199" i="2" s="1"/>
  <c r="G197" i="2"/>
  <c r="G194" i="2"/>
  <c r="G192" i="2"/>
  <c r="D191" i="2"/>
  <c r="G191" i="2" s="1"/>
  <c r="G190" i="2"/>
  <c r="G189" i="2"/>
  <c r="D188" i="2"/>
  <c r="G188" i="2" s="1"/>
  <c r="G187" i="2"/>
  <c r="G186" i="2"/>
  <c r="G183" i="2"/>
  <c r="G182" i="2"/>
  <c r="G181" i="2"/>
  <c r="G180" i="2"/>
  <c r="G179" i="2"/>
  <c r="G178" i="2"/>
  <c r="G184" i="2" s="1"/>
  <c r="H184" i="2" s="1"/>
  <c r="G175" i="2"/>
  <c r="G174" i="2"/>
  <c r="G173" i="2"/>
  <c r="G172" i="2"/>
  <c r="G171" i="2"/>
  <c r="G170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D150" i="2"/>
  <c r="G146" i="2"/>
  <c r="G145" i="2"/>
  <c r="G144" i="2"/>
  <c r="G143" i="2"/>
  <c r="G142" i="2"/>
  <c r="G141" i="2"/>
  <c r="G140" i="2"/>
  <c r="G139" i="2"/>
  <c r="G138" i="2"/>
  <c r="G137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D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99" i="2"/>
  <c r="G98" i="2"/>
  <c r="G97" i="2"/>
  <c r="G101" i="2" s="1"/>
  <c r="H101" i="2" s="1"/>
  <c r="G95" i="2"/>
  <c r="G93" i="2"/>
  <c r="G92" i="2"/>
  <c r="G91" i="2"/>
  <c r="G90" i="2"/>
  <c r="G89" i="2"/>
  <c r="G88" i="2"/>
  <c r="G87" i="2"/>
  <c r="D87" i="2"/>
  <c r="G85" i="2"/>
  <c r="G84" i="2"/>
  <c r="G83" i="2"/>
  <c r="G82" i="2"/>
  <c r="G81" i="2"/>
  <c r="G80" i="2"/>
  <c r="G79" i="2"/>
  <c r="G78" i="2"/>
  <c r="G77" i="2"/>
  <c r="G76" i="2"/>
  <c r="G75" i="2"/>
  <c r="G74" i="2"/>
  <c r="H73" i="2"/>
  <c r="G73" i="2"/>
  <c r="G72" i="2"/>
  <c r="G68" i="2"/>
  <c r="G67" i="2"/>
  <c r="G66" i="2"/>
  <c r="G65" i="2"/>
  <c r="G63" i="2"/>
  <c r="G62" i="2"/>
  <c r="G61" i="2"/>
  <c r="G60" i="2"/>
  <c r="G59" i="2"/>
  <c r="G58" i="2"/>
  <c r="G57" i="2"/>
  <c r="G56" i="2"/>
  <c r="G55" i="2"/>
  <c r="G54" i="2"/>
  <c r="G53" i="2"/>
  <c r="D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6" i="2"/>
  <c r="G35" i="2"/>
  <c r="G34" i="2"/>
  <c r="G33" i="2"/>
  <c r="G32" i="2"/>
  <c r="G31" i="2"/>
  <c r="G30" i="2"/>
  <c r="G29" i="2"/>
  <c r="G28" i="2"/>
  <c r="G21" i="2"/>
  <c r="G18" i="2"/>
  <c r="G17" i="2"/>
  <c r="G16" i="2"/>
  <c r="G15" i="2"/>
  <c r="G14" i="2"/>
  <c r="G13" i="2"/>
  <c r="G12" i="2"/>
  <c r="G11" i="2"/>
  <c r="G19" i="2" s="1"/>
  <c r="H19" i="2" s="1"/>
  <c r="G10" i="2"/>
  <c r="G3" i="2"/>
  <c r="H548" i="4" l="1"/>
  <c r="H573" i="4" s="1"/>
  <c r="H642" i="4" s="1"/>
  <c r="G328" i="4"/>
  <c r="H328" i="4" s="1"/>
  <c r="H30" i="4"/>
  <c r="I30" i="4" s="1"/>
  <c r="G327" i="4"/>
  <c r="H327" i="4" s="1"/>
  <c r="G383" i="4"/>
  <c r="H383" i="4" s="1"/>
  <c r="G347" i="4"/>
  <c r="E348" i="4"/>
  <c r="G348" i="4" s="1"/>
  <c r="E400" i="4"/>
  <c r="G400" i="4" s="1"/>
  <c r="G399" i="4"/>
  <c r="G432" i="4" s="1"/>
  <c r="H432" i="4" s="1"/>
  <c r="G572" i="4"/>
  <c r="G207" i="4"/>
  <c r="H207" i="4" s="1"/>
  <c r="G255" i="4"/>
  <c r="H255" i="4" s="1"/>
  <c r="G596" i="4"/>
  <c r="E631" i="4"/>
  <c r="G189" i="3"/>
  <c r="H189" i="3" s="1"/>
  <c r="H4" i="3" s="1"/>
  <c r="G320" i="3"/>
  <c r="H320" i="3" s="1"/>
  <c r="G397" i="3"/>
  <c r="H397" i="3" s="1"/>
  <c r="G415" i="3"/>
  <c r="H415" i="3" s="1"/>
  <c r="G701" i="3"/>
  <c r="H701" i="3" s="1"/>
  <c r="G248" i="3"/>
  <c r="H248" i="3" s="1"/>
  <c r="G491" i="3"/>
  <c r="G742" i="3"/>
  <c r="G743" i="3" s="1"/>
  <c r="H743" i="3" s="1"/>
  <c r="D811" i="3"/>
  <c r="G811" i="3" s="1"/>
  <c r="G827" i="3" s="1"/>
  <c r="H827" i="3" s="1"/>
  <c r="G37" i="2"/>
  <c r="H37" i="2" s="1"/>
  <c r="H2" i="2" s="1"/>
  <c r="G962" i="2"/>
  <c r="H962" i="2" s="1"/>
  <c r="G838" i="2"/>
  <c r="D840" i="2"/>
  <c r="G264" i="2"/>
  <c r="G295" i="2" s="1"/>
  <c r="H295" i="2" s="1"/>
  <c r="G405" i="2"/>
  <c r="H405" i="2" s="1"/>
  <c r="G323" i="2"/>
  <c r="H323" i="2" s="1"/>
  <c r="G335" i="2"/>
  <c r="D347" i="2"/>
  <c r="G347" i="2" s="1"/>
  <c r="G528" i="2"/>
  <c r="H528" i="2" s="1"/>
  <c r="G586" i="2"/>
  <c r="H586" i="2" s="1"/>
  <c r="G617" i="2"/>
  <c r="G630" i="2" s="1"/>
  <c r="H630" i="2" s="1"/>
  <c r="G1125" i="2"/>
  <c r="H1125" i="2" s="1"/>
  <c r="G1326" i="2"/>
  <c r="H1326" i="2" s="1"/>
  <c r="G135" i="2"/>
  <c r="H135" i="2" s="1"/>
  <c r="G839" i="2"/>
  <c r="E840" i="2"/>
  <c r="D872" i="2"/>
  <c r="G870" i="2"/>
  <c r="G70" i="2"/>
  <c r="H70" i="2" s="1"/>
  <c r="D424" i="2"/>
  <c r="G419" i="2"/>
  <c r="D422" i="2"/>
  <c r="G422" i="2" s="1"/>
  <c r="G605" i="2"/>
  <c r="G164" i="2"/>
  <c r="H164" i="2" s="1"/>
  <c r="G176" i="2"/>
  <c r="H176" i="2" s="1"/>
  <c r="D193" i="2"/>
  <c r="G332" i="2"/>
  <c r="G378" i="2" s="1"/>
  <c r="H378" i="2" s="1"/>
  <c r="D345" i="2"/>
  <c r="G345" i="2" s="1"/>
  <c r="G641" i="2"/>
  <c r="D643" i="2"/>
  <c r="G714" i="2"/>
  <c r="G716" i="2" s="1"/>
  <c r="H716" i="2" s="1"/>
  <c r="G786" i="2"/>
  <c r="H786" i="2" s="1"/>
  <c r="D906" i="2"/>
  <c r="G906" i="2" s="1"/>
  <c r="G905" i="2"/>
  <c r="G1071" i="2"/>
  <c r="G1082" i="2" s="1"/>
  <c r="D1073" i="2"/>
  <c r="G1073" i="2" s="1"/>
  <c r="E1292" i="2"/>
  <c r="D1292" i="2" s="1"/>
  <c r="G1291" i="2"/>
  <c r="E1022" i="2"/>
  <c r="G1018" i="2"/>
  <c r="G1114" i="2"/>
  <c r="G1201" i="2"/>
  <c r="D1205" i="2"/>
  <c r="G1205" i="2" s="1"/>
  <c r="G1273" i="2"/>
  <c r="D1275" i="2"/>
  <c r="G727" i="2"/>
  <c r="H727" i="2" s="1"/>
  <c r="G911" i="2"/>
  <c r="G975" i="2"/>
  <c r="G980" i="2" s="1"/>
  <c r="H980" i="2" s="1"/>
  <c r="G1063" i="2"/>
  <c r="H1063" i="2" s="1"/>
  <c r="E1184" i="2"/>
  <c r="D1184" i="2" s="1"/>
  <c r="G1183" i="2"/>
  <c r="G1187" i="2" s="1"/>
  <c r="H1187" i="2" s="1"/>
  <c r="G1199" i="2"/>
  <c r="G1219" i="2" s="1"/>
  <c r="H1219" i="2" s="1"/>
  <c r="D1203" i="2"/>
  <c r="G1203" i="2" s="1"/>
  <c r="D1207" i="2"/>
  <c r="G1207" i="2" s="1"/>
  <c r="D796" i="2"/>
  <c r="G1091" i="2"/>
  <c r="G1092" i="2" s="1"/>
  <c r="G1098" i="2"/>
  <c r="G1233" i="2"/>
  <c r="D1235" i="2"/>
  <c r="F28" i="1"/>
  <c r="F27" i="1"/>
  <c r="F26" i="1"/>
  <c r="F24" i="1"/>
  <c r="F23" i="1"/>
  <c r="F22" i="1"/>
  <c r="F21" i="1"/>
  <c r="F20" i="1"/>
  <c r="F19" i="1"/>
  <c r="F18" i="1"/>
  <c r="F17" i="1"/>
  <c r="F16" i="1"/>
  <c r="F14" i="1"/>
  <c r="F12" i="1"/>
  <c r="F11" i="1"/>
  <c r="F10" i="1"/>
  <c r="E29" i="1"/>
  <c r="D29" i="1"/>
  <c r="C29" i="1"/>
  <c r="H813" i="4" l="1"/>
  <c r="G631" i="4"/>
  <c r="E632" i="4"/>
  <c r="G632" i="4" s="1"/>
  <c r="H572" i="4"/>
  <c r="G573" i="4"/>
  <c r="I841" i="3"/>
  <c r="H866" i="3"/>
  <c r="H782" i="3"/>
  <c r="E1023" i="2"/>
  <c r="D1023" i="2" s="1"/>
  <c r="G1022" i="2"/>
  <c r="G1026" i="2" s="1"/>
  <c r="H1026" i="2" s="1"/>
  <c r="I1015" i="2" s="1"/>
  <c r="G643" i="2"/>
  <c r="D645" i="2"/>
  <c r="D428" i="2"/>
  <c r="G424" i="2"/>
  <c r="G840" i="2"/>
  <c r="D842" i="2"/>
  <c r="G1275" i="2"/>
  <c r="D1277" i="2"/>
  <c r="G1116" i="2"/>
  <c r="H1116" i="2" s="1"/>
  <c r="D798" i="2"/>
  <c r="G796" i="2"/>
  <c r="D1237" i="2"/>
  <c r="G1235" i="2"/>
  <c r="G193" i="2"/>
  <c r="D196" i="2"/>
  <c r="D874" i="2"/>
  <c r="G872" i="2"/>
  <c r="F29" i="1"/>
  <c r="G634" i="4" l="1"/>
  <c r="H634" i="4" s="1"/>
  <c r="D201" i="2"/>
  <c r="D198" i="2"/>
  <c r="G198" i="2" s="1"/>
  <c r="G196" i="2"/>
  <c r="D1279" i="2"/>
  <c r="G1279" i="2" s="1"/>
  <c r="G1277" i="2"/>
  <c r="D647" i="2"/>
  <c r="G645" i="2"/>
  <c r="D876" i="2"/>
  <c r="G876" i="2" s="1"/>
  <c r="G874" i="2"/>
  <c r="G893" i="2" s="1"/>
  <c r="H893" i="2" s="1"/>
  <c r="D430" i="2"/>
  <c r="G430" i="2" s="1"/>
  <c r="G461" i="2" s="1"/>
  <c r="H461" i="2" s="1"/>
  <c r="G428" i="2"/>
  <c r="G798" i="2"/>
  <c r="D800" i="2"/>
  <c r="D1239" i="2"/>
  <c r="G1237" i="2"/>
  <c r="G842" i="2"/>
  <c r="D844" i="2"/>
  <c r="D206" i="2" l="1"/>
  <c r="G206" i="2" s="1"/>
  <c r="D203" i="2"/>
  <c r="G201" i="2"/>
  <c r="D802" i="2"/>
  <c r="G800" i="2"/>
  <c r="D846" i="2"/>
  <c r="G846" i="2" s="1"/>
  <c r="G862" i="2" s="1"/>
  <c r="H862" i="2" s="1"/>
  <c r="G844" i="2"/>
  <c r="D649" i="2"/>
  <c r="G647" i="2"/>
  <c r="D1241" i="2"/>
  <c r="G1239" i="2"/>
  <c r="G1295" i="2"/>
  <c r="H1295" i="2" s="1"/>
  <c r="D208" i="2" l="1"/>
  <c r="G208" i="2" s="1"/>
  <c r="G203" i="2"/>
  <c r="D1243" i="2"/>
  <c r="G1243" i="2" s="1"/>
  <c r="G1241" i="2"/>
  <c r="D651" i="2"/>
  <c r="G651" i="2" s="1"/>
  <c r="G649" i="2"/>
  <c r="G802" i="2"/>
  <c r="D804" i="2"/>
  <c r="G240" i="2"/>
  <c r="H240" i="2" s="1"/>
  <c r="H169" i="2" s="1"/>
  <c r="G1259" i="2" l="1"/>
  <c r="H1259" i="2" s="1"/>
  <c r="G680" i="2"/>
  <c r="H680" i="2" s="1"/>
  <c r="H578" i="2" s="1"/>
  <c r="G804" i="2"/>
  <c r="D806" i="2"/>
  <c r="G806" i="2" l="1"/>
  <c r="D808" i="2"/>
  <c r="H1330" i="2"/>
  <c r="D810" i="2" l="1"/>
  <c r="G810" i="2" s="1"/>
  <c r="G826" i="2" s="1"/>
  <c r="H826" i="2" s="1"/>
  <c r="G808" i="2"/>
  <c r="H1154" i="2" l="1"/>
  <c r="H1334" i="2"/>
</calcChain>
</file>

<file path=xl/comments1.xml><?xml version="1.0" encoding="utf-8"?>
<comments xmlns="http://schemas.openxmlformats.org/spreadsheetml/2006/main">
  <authors>
    <author>Author</author>
  </authors>
  <commentList>
    <comment ref="E211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1 Car</t>
        </r>
      </text>
    </comment>
    <comment ref="E212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1 Car</t>
        </r>
      </text>
    </comment>
    <comment ref="E229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1 Car</t>
        </r>
      </text>
    </comment>
    <comment ref="E267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1 Car</t>
        </r>
      </text>
    </comment>
    <comment ref="E26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1 Car</t>
        </r>
      </text>
    </comment>
    <comment ref="E285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1 Car</t>
        </r>
      </text>
    </comment>
    <comment ref="E34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1missed Province</t>
        </r>
      </text>
    </comment>
    <comment ref="E350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1 Car</t>
        </r>
      </text>
    </comment>
    <comment ref="E351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1 Car</t>
        </r>
      </text>
    </comment>
    <comment ref="E36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1 Car</t>
        </r>
      </text>
    </comment>
    <comment ref="E43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1 Car</t>
        </r>
      </text>
    </comment>
    <comment ref="E434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1 Car</t>
        </r>
      </text>
    </comment>
    <comment ref="E451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1 Car</t>
        </r>
      </text>
    </comment>
    <comment ref="E1252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3 Cars</t>
        </r>
      </text>
    </comment>
    <comment ref="D125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10 litre</t>
        </r>
      </text>
    </comment>
    <comment ref="E125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3 Cars</t>
        </r>
      </text>
    </comment>
    <comment ref="E128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3 Cars</t>
        </r>
      </text>
    </comment>
    <comment ref="D1289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10 litre</t>
        </r>
      </text>
    </comment>
    <comment ref="E1289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3 Cars</t>
        </r>
      </text>
    </comment>
  </commentList>
</comments>
</file>

<file path=xl/comments2.xml><?xml version="1.0" encoding="utf-8"?>
<comments xmlns="http://schemas.openxmlformats.org/spreadsheetml/2006/main">
  <authors>
    <author>Author</author>
    <author>Acer</author>
  </authors>
  <commentList>
    <comment ref="E355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1 Car</t>
        </r>
      </text>
    </comment>
    <comment ref="E35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1 Car</t>
        </r>
      </text>
    </comment>
    <comment ref="E37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1 Car</t>
        </r>
      </text>
    </comment>
    <comment ref="E405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1 Car</t>
        </r>
      </text>
    </comment>
    <comment ref="E40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1 Car</t>
        </r>
      </text>
    </comment>
    <comment ref="E42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1 Car</t>
        </r>
      </text>
    </comment>
    <comment ref="E45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1missed Province</t>
        </r>
      </text>
    </comment>
    <comment ref="E486" authorId="1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10
</t>
        </r>
      </text>
    </comment>
    <comment ref="F487" authorId="1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40
</t>
        </r>
      </text>
    </comment>
    <comment ref="E488" authorId="1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20</t>
        </r>
      </text>
    </comment>
    <comment ref="E495" authorId="1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E497" authorId="1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20
</t>
        </r>
      </text>
    </comment>
    <comment ref="F537" authorId="1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3000
</t>
        </r>
      </text>
    </comment>
    <comment ref="E538" authorId="1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250</t>
        </r>
      </text>
    </comment>
    <comment ref="E539" authorId="1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250</t>
        </r>
      </text>
    </comment>
    <comment ref="D540" authorId="1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900</t>
        </r>
      </text>
    </comment>
    <comment ref="E610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12 Cars</t>
        </r>
      </text>
    </comment>
    <comment ref="E611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1 Car</t>
        </r>
      </text>
    </comment>
    <comment ref="E62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 Cars</t>
        </r>
      </text>
    </comment>
    <comment ref="D629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10 litre</t>
        </r>
      </text>
    </comment>
    <comment ref="E629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 Cars</t>
        </r>
      </text>
    </comment>
  </commentList>
</comments>
</file>

<file path=xl/sharedStrings.xml><?xml version="1.0" encoding="utf-8"?>
<sst xmlns="http://schemas.openxmlformats.org/spreadsheetml/2006/main" count="2963" uniqueCount="1333">
  <si>
    <t>Ministry of Health</t>
  </si>
  <si>
    <t>CDC Department</t>
  </si>
  <si>
    <t>PR office, GFATM</t>
  </si>
  <si>
    <t>Proposed interventions</t>
  </si>
  <si>
    <t>Center for HIV/AIDS/STI</t>
  </si>
  <si>
    <t>HIV Control Program (USD)</t>
  </si>
  <si>
    <t>Component 1: Enabling Environment</t>
  </si>
  <si>
    <t>Governance</t>
  </si>
  <si>
    <t>Policy, legal reform and advocacy</t>
  </si>
  <si>
    <t>Strategic Information</t>
  </si>
  <si>
    <t>Component 2: Prevention Programme</t>
  </si>
  <si>
    <t>Condom Programming</t>
  </si>
  <si>
    <t>STI Management</t>
  </si>
  <si>
    <t>PMTCT</t>
  </si>
  <si>
    <t>Blood Safety</t>
  </si>
  <si>
    <t>TB-HIV co-infection</t>
  </si>
  <si>
    <t>Item No.</t>
  </si>
  <si>
    <t>Component 3: Treatment, Care and Support</t>
  </si>
  <si>
    <t>HIV Testing and Counseling</t>
  </si>
  <si>
    <t>ARV and OI Management</t>
  </si>
  <si>
    <t>Access to Care and Support for PLHIV</t>
  </si>
  <si>
    <t>Grand Total :</t>
  </si>
  <si>
    <t>IEC materials (new and existing); Special events and campaigns</t>
  </si>
  <si>
    <t xml:space="preserve"> - Sex Workers</t>
  </si>
  <si>
    <t xml:space="preserve"> - MSM/TG</t>
  </si>
  <si>
    <t xml:space="preserve"> - PWID</t>
  </si>
  <si>
    <t xml:space="preserve"> - Vulnerable population</t>
  </si>
  <si>
    <t>Special Interventions for KP:</t>
  </si>
  <si>
    <t>Total for 3yrs</t>
  </si>
  <si>
    <t>Government Budget Category</t>
  </si>
  <si>
    <t>63</t>
  </si>
  <si>
    <t>Summary of Co-Financing (In Cash) contribution by Lao Government to HIV/AIDS/STI Program in New Cycle Funding for year (2018-2020)</t>
  </si>
  <si>
    <t>62</t>
  </si>
  <si>
    <t>Budget contribution from Government (2018)</t>
  </si>
  <si>
    <t>Exchange rate:</t>
  </si>
  <si>
    <t>I</t>
  </si>
  <si>
    <t>Strengthening the committee of National AIDS Programme</t>
  </si>
  <si>
    <t>total all AD:</t>
  </si>
  <si>
    <t>Annual  meeting for Committee of the National AIDS Programme to review and modify the Problems in practice HIV/AIDS at LaoPraza Hotel</t>
  </si>
  <si>
    <t xml:space="preserve">Opening remark </t>
  </si>
  <si>
    <t xml:space="preserve"> 1 Minister </t>
  </si>
  <si>
    <t>Minister</t>
  </si>
  <si>
    <t xml:space="preserve"> 9 participant are  from CHAS</t>
  </si>
  <si>
    <t>Director</t>
  </si>
  <si>
    <t>1  participant is from CDC</t>
  </si>
  <si>
    <t>Deputy director</t>
  </si>
  <si>
    <t>34 HIV/AIDS Cordinator are  from 17 ministries</t>
  </si>
  <si>
    <t>technical staffes of CHAS</t>
  </si>
  <si>
    <t>5 journalist</t>
  </si>
  <si>
    <t>CDC department</t>
  </si>
  <si>
    <t>Total: 50 participants</t>
  </si>
  <si>
    <t>NCCA and Cordinators  (17 Ministries)</t>
  </si>
  <si>
    <t>journalist</t>
  </si>
  <si>
    <t xml:space="preserve">Travel cost for CDC </t>
  </si>
  <si>
    <t>Travel cost for CHAS</t>
  </si>
  <si>
    <t>Travel cost for  NCCA and Cordinators</t>
  </si>
  <si>
    <t>Meeting room ( Package 350 000 per person)</t>
  </si>
  <si>
    <t xml:space="preserve">Presentation </t>
  </si>
  <si>
    <t>Copy document</t>
  </si>
  <si>
    <t>Preparing document</t>
  </si>
  <si>
    <t>Stationery</t>
  </si>
  <si>
    <t xml:space="preserve"> 9 participants are  from CHAS</t>
  </si>
  <si>
    <t>1participant is from CDC</t>
  </si>
  <si>
    <t>34 HIV/AIDS Cordinator are from 17 ministries</t>
  </si>
  <si>
    <t>NCCA and Cordinators  (17Ministries)</t>
  </si>
  <si>
    <t>II</t>
  </si>
  <si>
    <t>Review and update the National HIV/AIDS and STI Policy</t>
  </si>
  <si>
    <t>Technical workshop to review and update the  policy on HIV/AIDS and STI prevention at Lao women union, 3days</t>
  </si>
  <si>
    <t>Travel cost for participants</t>
  </si>
  <si>
    <t xml:space="preserve"> 15 participants are  from CHAS</t>
  </si>
  <si>
    <t xml:space="preserve"> Director  of CHAS</t>
  </si>
  <si>
    <t>8 participants are from Department and Center</t>
  </si>
  <si>
    <t xml:space="preserve"> Deputy  of CHAS</t>
  </si>
  <si>
    <t>7 participants are from NGO and CSO</t>
  </si>
  <si>
    <t xml:space="preserve">16  HIV/AIDS Cordinator </t>
  </si>
  <si>
    <t xml:space="preserve"> CDC department,Medical department, Cabinet,Education department</t>
  </si>
  <si>
    <t>1 LCDC</t>
  </si>
  <si>
    <t>1CLE,1MCH,1TB,1Medical Center</t>
  </si>
  <si>
    <t>6 central hospital</t>
  </si>
  <si>
    <t>NGO(WHO,UNAIDS,CDC,FHI)</t>
  </si>
  <si>
    <t>3 (APL+,MSM,FSW)</t>
  </si>
  <si>
    <t>CSO(LaoPHA,PEDA,PSI)</t>
  </si>
  <si>
    <t>Total: 56 participants</t>
  </si>
  <si>
    <t>Representative from(APL+,MSM,FSW)</t>
  </si>
  <si>
    <t xml:space="preserve">16 HIV/AIDS Cordinator from each ministries </t>
  </si>
  <si>
    <t>LCDC</t>
  </si>
  <si>
    <t>6 Central hospital</t>
  </si>
  <si>
    <t>Travel cost for CHAS using  in local</t>
  </si>
  <si>
    <t>Travel cost for department using   in local</t>
  </si>
  <si>
    <t>Travel cost for Centers using   in local</t>
  </si>
  <si>
    <t>Travel cost for NGO using   in local</t>
  </si>
  <si>
    <t>Travel cost for (APL+,MSM,FSW) using   in local</t>
  </si>
  <si>
    <t>Travel cost for CSO using   in local</t>
  </si>
  <si>
    <t>Travel cost for 16 HIV/AIDS Cordinator using   in local</t>
  </si>
  <si>
    <t>Travel cost for 6 central hospital using   in local</t>
  </si>
  <si>
    <t>Travel cost for LCDC using   in local</t>
  </si>
  <si>
    <t xml:space="preserve">Room rental </t>
  </si>
  <si>
    <t>Coffee break for participants</t>
  </si>
  <si>
    <t>Banner</t>
  </si>
  <si>
    <t xml:space="preserve">Copy </t>
  </si>
  <si>
    <t xml:space="preserve">Sumary meeting to verify/certify the policy on the HIV/AIDS and STI Prevention </t>
  </si>
  <si>
    <t>8 participants are  from Department and Center</t>
  </si>
  <si>
    <t xml:space="preserve"> CDC department,Medical department, Cabinet ,Education department</t>
  </si>
  <si>
    <t>16 HIV/AIDS Cordinator  from each ministries</t>
  </si>
  <si>
    <t>Meeting room (package 300000/person )</t>
  </si>
  <si>
    <t>III</t>
  </si>
  <si>
    <t>Project Update the HIV/AIDS Law</t>
  </si>
  <si>
    <t>Technical workshop to develop HIV/AIDS Law, at Lao women union, 3days</t>
  </si>
  <si>
    <t>7 participants  are from Department and Center</t>
  </si>
  <si>
    <t>14 HIV/AIDS Cordinator are  from 14 ministries</t>
  </si>
  <si>
    <t xml:space="preserve"> 1CDC,1Department of Health Care, 1Cabinet ( Law unit)</t>
  </si>
  <si>
    <t>4National assembly and Ministry of Justice</t>
  </si>
  <si>
    <t xml:space="preserve">3 Civil Society </t>
  </si>
  <si>
    <t>3 participants from ART site</t>
  </si>
  <si>
    <t>HIV/AIDS Cordinator from 14 ministries</t>
  </si>
  <si>
    <t>National assembly,Ministry of Justice</t>
  </si>
  <si>
    <t>Civil society( Women,Youth,Fd)</t>
  </si>
  <si>
    <t>ART site (Settha,Mahosot,Friendship)</t>
  </si>
  <si>
    <t>Travel cost for Cordinator from 14 ministries using   in local</t>
  </si>
  <si>
    <t>Travel cost for National assumbry and ministry of Justice using   in local</t>
  </si>
  <si>
    <t>Travel cost for Civil society using   in local</t>
  </si>
  <si>
    <t>Travel cost for ART sites using   in local</t>
  </si>
  <si>
    <t>The Summary meeting to Certify the Updated HIV/AIDS Law at LaoPraza Hotel</t>
  </si>
  <si>
    <t xml:space="preserve"> 9 participants are from CHAS</t>
  </si>
  <si>
    <t>7 participants are  from Department and Center</t>
  </si>
  <si>
    <t>7 participants are  from NGO and CSO</t>
  </si>
  <si>
    <t>14 Cordinator are from 14 ministries</t>
  </si>
  <si>
    <t>1CDC, 1DHC,1 Cabinet ( Law unit)</t>
  </si>
  <si>
    <t>4National assembly,Ministry of Justice</t>
  </si>
  <si>
    <t>CLE,MCH,TB,information and Medical  Center</t>
  </si>
  <si>
    <t>NGO (WHO,UNAIDS,CDC,FHI)</t>
  </si>
  <si>
    <t>3 participants are  from ART site</t>
  </si>
  <si>
    <t>Cordinator from 14 ministries</t>
  </si>
  <si>
    <t>1National assembly,1Ministry of Justice</t>
  </si>
  <si>
    <t>Travel cost for Assumbry and ministry of Justice using   in local</t>
  </si>
  <si>
    <t>Meeting room (package 350000/person )</t>
  </si>
  <si>
    <t>Presentation</t>
  </si>
  <si>
    <t>stationery</t>
  </si>
  <si>
    <t>Preparing Document</t>
  </si>
  <si>
    <t>Copy</t>
  </si>
  <si>
    <t>Total cost (LAK)</t>
  </si>
  <si>
    <t>Component2: Prevention Programme</t>
  </si>
  <si>
    <t>IEC materials ( new and existing)</t>
  </si>
  <si>
    <t>Special events and campaigns</t>
  </si>
  <si>
    <t>Total Act</t>
  </si>
  <si>
    <t>Meeting for set up the IEC Committee at CHAS( 1day)</t>
  </si>
  <si>
    <t>07 participants are from CHAS.</t>
  </si>
  <si>
    <t xml:space="preserve">Trainer fee </t>
  </si>
  <si>
    <t>13 participants are from provinces.</t>
  </si>
  <si>
    <t>Travel cost for CHAS  in local</t>
  </si>
  <si>
    <t>Total: 20 participants</t>
  </si>
  <si>
    <t>Quarterly meeting for IEC Committee at CHAS( 1day)</t>
  </si>
  <si>
    <t>Opening remark /Quarter</t>
  </si>
  <si>
    <t xml:space="preserve">Annual meeting with PCCA for IEC at Vangvieng, 3days </t>
  </si>
  <si>
    <t>10 participants are from CHAS.</t>
  </si>
  <si>
    <t>Perdiem with overnight for CHAS (Director)</t>
  </si>
  <si>
    <t>54 participants are from provinces</t>
  </si>
  <si>
    <t>Perdiem with out overnight for CHAS (Director</t>
  </si>
  <si>
    <t>Total:  64 participants</t>
  </si>
  <si>
    <t>Perdiem with overnight for CHAS (Deput )</t>
  </si>
  <si>
    <t>Perdiem with out overnight for CHAS (Deput)</t>
  </si>
  <si>
    <t>Perdiem with overnight for CHAS staff and facilitator
(7-Technicals  )</t>
  </si>
  <si>
    <t>Perdiem with out overnight for CHAS staff and facilitator 
(7-Technicals )</t>
  </si>
  <si>
    <t>Perdiem with overnight for CHAS (Driver)</t>
  </si>
  <si>
    <t>Perdiem with out overnight for CHAS  (Driver)</t>
  </si>
  <si>
    <t xml:space="preserve">Perdiem with overnight for  Vientiane Capital </t>
  </si>
  <si>
    <t xml:space="preserve">Perdiem with out overnight for Vientiane Capital </t>
  </si>
  <si>
    <t xml:space="preserve">Perdiem with overnight for   Vientiane Capital  driver </t>
  </si>
  <si>
    <t>Perdiem with out overnight for  Vientiane Capital  driver</t>
  </si>
  <si>
    <t xml:space="preserve">Perdiem with overnight for   BK, PSL, ATP </t>
  </si>
  <si>
    <t xml:space="preserve">Perdiem with out overnight forBK, PSL, ATP </t>
  </si>
  <si>
    <t xml:space="preserve">Perdiem with overnight for   BK, PSL, ATP driver </t>
  </si>
  <si>
    <t>Perdiem with out overnight forBK, PSL, ATP  driver</t>
  </si>
  <si>
    <t>Perdiem with overnight for  13 Province(ODX,LNT,LPB,SBL,BKX,XSB,HP,XK,KM,SVK,SLV,CPS,XK)</t>
  </si>
  <si>
    <t>Perdiem with out overnight for 13 Province(ODX,LNT,LPB,SBL,BKX,XSB,HP,XK,KM,SVK,SLV,CPS,XK)</t>
  </si>
  <si>
    <t>Perdiem with overnight for   13 driver (ODX,LNT,LPB,SBL,BKX,XSB,HP,XK,KM,SVK,SLV,CPS,XK)</t>
  </si>
  <si>
    <t>Perdiem with out overnight for 13  driver(ODX,LNT,LPB,SBL,BKX,XSB,HP,XK,KM,SVK,SLV,CPS,XK)</t>
  </si>
  <si>
    <t>Travel cost by Car for VTC</t>
  </si>
  <si>
    <t>Travel cost by Car for VT pro</t>
  </si>
  <si>
    <t xml:space="preserve">Travel cost by Car for BK-Vengvieng </t>
  </si>
  <si>
    <t xml:space="preserve">Travel cost by Car for PSL-Vengvieng </t>
  </si>
  <si>
    <t xml:space="preserve">Travel cost by Car for LNT-Vengvieng </t>
  </si>
  <si>
    <t xml:space="preserve">Travel cost by Car for HP-Vengvieng </t>
  </si>
  <si>
    <t xml:space="preserve">Travel cost by Car for ATP-Vengvieng </t>
  </si>
  <si>
    <t xml:space="preserve">Travel cost by Car for CPS-Vengvieng </t>
  </si>
  <si>
    <t xml:space="preserve">Travel cost by Car for SLV-Vengvieng </t>
  </si>
  <si>
    <t xml:space="preserve">Travel cost by Car for SK-Vengvieng </t>
  </si>
  <si>
    <t xml:space="preserve">Travel cost by Car for ODX-Vengvieng </t>
  </si>
  <si>
    <t xml:space="preserve">Travel cost by Car for LPB-Vengvieng </t>
  </si>
  <si>
    <t xml:space="preserve">Travel cost by Car for SYL-Vengvieng </t>
  </si>
  <si>
    <t xml:space="preserve">Travel cost by Car for XK-Vengvieng </t>
  </si>
  <si>
    <t xml:space="preserve">Travel cost by Car for XSB-Vengvieng </t>
  </si>
  <si>
    <t xml:space="preserve">Travel cost by Car for BKX-Vengvieng </t>
  </si>
  <si>
    <t xml:space="preserve">Travel cost by Car for KM-Vengvieng </t>
  </si>
  <si>
    <t xml:space="preserve">Travel cost by Car for SVK-Vengvieng </t>
  </si>
  <si>
    <t>Travel cost by Car for CHAS</t>
  </si>
  <si>
    <t>Travel cost for 18 Car using  in local</t>
  </si>
  <si>
    <t>Travel cost for CHAS  using in local</t>
  </si>
  <si>
    <t>Meeting Room</t>
  </si>
  <si>
    <t>copy Guidelines</t>
  </si>
  <si>
    <t>presentation</t>
  </si>
  <si>
    <t>TOT for IEC of HIV Prevention</t>
  </si>
  <si>
    <t>54 participants are from provinces.</t>
  </si>
  <si>
    <t>Perdiem with overnight for CHAS staff and facilitator
(5-Technicals  )</t>
  </si>
  <si>
    <t>Perdiem with out overnight for CHAS staff and facilitator 
(5-Technicals )</t>
  </si>
  <si>
    <t>Perdiem with out overnight for  Vientiane Capital   driver</t>
  </si>
  <si>
    <t>Travel cost for 18 Car  in local</t>
  </si>
  <si>
    <t>Activities for Communities at festival</t>
  </si>
  <si>
    <t>Total: 10 participants</t>
  </si>
  <si>
    <t>Perdiem with overnight for Actor and Actress</t>
  </si>
  <si>
    <t>Travel cost for CHAS in local</t>
  </si>
  <si>
    <t>Something using in daily day</t>
  </si>
  <si>
    <t>Tools</t>
  </si>
  <si>
    <t>Preparing Place</t>
  </si>
  <si>
    <t>Place Rental</t>
  </si>
  <si>
    <t>Boad Rental</t>
  </si>
  <si>
    <t>Electricity fee</t>
  </si>
  <si>
    <t>Activites HIV Prevention for Governments staffs,9sectors</t>
  </si>
  <si>
    <t>Total 100 participants</t>
  </si>
  <si>
    <t>Perdiem with overnight for Actor and Actress(Performance)</t>
  </si>
  <si>
    <t>Travel cost for using in local</t>
  </si>
  <si>
    <t xml:space="preserve">Something using in daily day </t>
  </si>
  <si>
    <t>Electon</t>
  </si>
  <si>
    <t>Speaker</t>
  </si>
  <si>
    <t>Intergrat HIV Prevention and Gender workshop at Vengvieng, Thalat 3days</t>
  </si>
  <si>
    <t>08 participants are from CHAS.</t>
  </si>
  <si>
    <t>37 participants are from provinces</t>
  </si>
  <si>
    <t>Total: 45 participants</t>
  </si>
  <si>
    <t>Perdiem with overnight and with out overnight for CHAS staff and facilitator
(6-Technicals  )</t>
  </si>
  <si>
    <t>Perdiem  with out overnight for CHAS staff and facilitator
(6-Technicals  )</t>
  </si>
  <si>
    <t>Travel cost for using   in local</t>
  </si>
  <si>
    <t>Room rental</t>
  </si>
  <si>
    <t>meeting on designing IEC materials (Poster, Brochure…) at CHAS</t>
  </si>
  <si>
    <t>Total: 25 participants</t>
  </si>
  <si>
    <t>trainer</t>
  </si>
  <si>
    <t>meeting on Designing leaflets for Education in Hospital at CHAS,2days</t>
  </si>
  <si>
    <t>meeting on Designing leaflets for home base care at CHAS,2days</t>
  </si>
  <si>
    <t>Training for using IEC for Nurse at Vengvieng, Thalat,  3days</t>
  </si>
  <si>
    <t>33 participants are from provinces</t>
  </si>
  <si>
    <t>Total : 40</t>
  </si>
  <si>
    <t>Tol tal DSS</t>
  </si>
  <si>
    <t>Travel cost for CHAS   in local</t>
  </si>
  <si>
    <t>Travel cost for 18 car  using   in local</t>
  </si>
  <si>
    <t>IEC Testing at ODX, LNT, BK Provinces</t>
  </si>
  <si>
    <t>Perdiem with overnight for CHAS staff and facilitator
(4-Technicals  )</t>
  </si>
  <si>
    <t>38 participants are from provinces</t>
  </si>
  <si>
    <t>Perdiem with out overnight for CHAS staff and facilitator 
(4-Technicals )</t>
  </si>
  <si>
    <t>Perdiem with overnight for   ODX, LNT, BK</t>
  </si>
  <si>
    <t>Perdiem with out overnight  ODX, LNT, BK driver</t>
  </si>
  <si>
    <t>Travel cost by Car for CHAS from VT Cap-ODX</t>
  </si>
  <si>
    <t>Travel cost by Car from ODX-LNT</t>
  </si>
  <si>
    <t>Travel cost by Car from LNT-BK</t>
  </si>
  <si>
    <t>Travel cost by Car from BK-VT Cap</t>
  </si>
  <si>
    <t>C0py fee</t>
  </si>
  <si>
    <t>Travel cost using in local</t>
  </si>
  <si>
    <t>IEC Material Printing</t>
  </si>
  <si>
    <t>Brochure 3 pages</t>
  </si>
  <si>
    <t>page</t>
  </si>
  <si>
    <t>Poster size 50x70 cm, 4 colors, cardboard 160 G</t>
  </si>
  <si>
    <t>HIV Flipchart for a nurse x 10 page size 50x60 cm (totally 3 m), Vinyl 200 Set</t>
  </si>
  <si>
    <t>Flipchart for visited PLHIV's house (10 page size 30x50cm (Totally 1,5 m), Vinyl 200 Set</t>
  </si>
  <si>
    <t>Radio Program 99,7 and 103,7 MH</t>
  </si>
  <si>
    <t>Preparing Scrip</t>
  </si>
  <si>
    <t>Review scrip</t>
  </si>
  <si>
    <t>Spokesman</t>
  </si>
  <si>
    <t>Station fee</t>
  </si>
  <si>
    <t xml:space="preserve">Creating sports radio
</t>
  </si>
  <si>
    <t>Newspaper</t>
  </si>
  <si>
    <t>Writing scrip</t>
  </si>
  <si>
    <t>Reviewing scrip</t>
  </si>
  <si>
    <t>anouncement fee 15x20 cm</t>
  </si>
  <si>
    <t>Creat spots and TV advertising</t>
  </si>
  <si>
    <t>Writing story (x 5 story) 20 page</t>
  </si>
  <si>
    <t>Review story</t>
  </si>
  <si>
    <t>Performance Pratice</t>
  </si>
  <si>
    <t>Actors and Actress</t>
  </si>
  <si>
    <t>Scene Decoration</t>
  </si>
  <si>
    <t>Locations</t>
  </si>
  <si>
    <t>Filmed</t>
  </si>
  <si>
    <t>Editing</t>
  </si>
  <si>
    <t>Sound mixer</t>
  </si>
  <si>
    <t>Master file</t>
  </si>
  <si>
    <t>Copy for distribution to Provinces</t>
  </si>
  <si>
    <t>Broadcast 2 times/week</t>
  </si>
  <si>
    <t>ToT for Peer education in University</t>
  </si>
  <si>
    <t>Travel cost for students</t>
  </si>
  <si>
    <t>Location</t>
  </si>
  <si>
    <t>PEER education in unuversities</t>
  </si>
  <si>
    <t>PEER Volunteer</t>
  </si>
  <si>
    <t>Coffee break for 10 participants</t>
  </si>
  <si>
    <t>Monitoring 2 times/month</t>
  </si>
  <si>
    <t>Set up IT system strategy</t>
  </si>
  <si>
    <t>Computer</t>
  </si>
  <si>
    <t>Computer HP</t>
  </si>
  <si>
    <t>IT specialist</t>
  </si>
  <si>
    <t>Temporary staff</t>
  </si>
  <si>
    <t>Internet fees ( Facbook,line…..)</t>
  </si>
  <si>
    <t>Antivirus</t>
  </si>
  <si>
    <t>Decentralized PEER Education network in each Provinces</t>
  </si>
  <si>
    <t>Travel cost</t>
  </si>
  <si>
    <t>Travel cost by Car from Cap-VT-XYBL</t>
  </si>
  <si>
    <t>Travel cost by Car from XYBL-LPB-HP</t>
  </si>
  <si>
    <t>Travel cost by Car from HP-XK-Cap</t>
  </si>
  <si>
    <t>Travel cost by Car from Cap-ODX-LNT_BK</t>
  </si>
  <si>
    <t>Travel cost by Car from BK-PSL</t>
  </si>
  <si>
    <t>Travel cost by Car from PSL-ODX-Cap</t>
  </si>
  <si>
    <t>Travel cost by Car from Cap-XSB</t>
  </si>
  <si>
    <t>Travel cost by Car from XSB-BLKX-SVNK</t>
  </si>
  <si>
    <t>Travel cost by Car from SVNK-Cap</t>
  </si>
  <si>
    <t>Travel cost by Car from CPS-SK-ATP</t>
  </si>
  <si>
    <t>Travel cost by Car from ATP-SRV-Cap</t>
  </si>
  <si>
    <t>1.2o</t>
  </si>
  <si>
    <t>WAD 2018</t>
  </si>
  <si>
    <t xml:space="preserve">Opening-closing remark </t>
  </si>
  <si>
    <t xml:space="preserve">Chairman </t>
  </si>
  <si>
    <t>Trainer</t>
  </si>
  <si>
    <t>Trainer fees</t>
  </si>
  <si>
    <t>Travel cost for using in local (4 cars)</t>
  </si>
  <si>
    <t>Preparing Documents</t>
  </si>
  <si>
    <t>Photos expression from 10 related sectors</t>
  </si>
  <si>
    <t>Ppreparing documents</t>
  </si>
  <si>
    <t>Parking</t>
  </si>
  <si>
    <t>Securities</t>
  </si>
  <si>
    <t>Location Fees</t>
  </si>
  <si>
    <t xml:space="preserve"> Condom Programming</t>
  </si>
  <si>
    <t>Total CD</t>
  </si>
  <si>
    <t>Meeting of Condom Communitee, at CHAS</t>
  </si>
  <si>
    <t>Condom Supplies</t>
  </si>
  <si>
    <t>Purchesing FSW,MSM Condom</t>
  </si>
  <si>
    <t>Assessment on Condom use</t>
  </si>
  <si>
    <t>team 1: XK ( Phoun, Kham district)                    HP (Viengxay,Add district)</t>
  </si>
  <si>
    <t>Perdiem with overnight for CHAS staff and facilitator(4-Technicals  )</t>
  </si>
  <si>
    <t>Perdiem with out overnight for CHAS staff and facilitator (3-Technicals )</t>
  </si>
  <si>
    <t>Perdiem with overnight for PCCA</t>
  </si>
  <si>
    <t>Perdiem with out overnight for PCCA</t>
  </si>
  <si>
    <t>Perdiem with out overnight for DCCA</t>
  </si>
  <si>
    <t>Travel cost by Car from HP - Add district-HP</t>
  </si>
  <si>
    <t>Travel cost by Car from VT Cap-HP-VT Cap</t>
  </si>
  <si>
    <t>Team 2: LNT ( Numtha,Viengphoukha)                BK (HS,TP district)</t>
  </si>
  <si>
    <t xml:space="preserve">Perdiem with overnight  for CHAS staff and facilitator(3-Technicals  )
</t>
  </si>
  <si>
    <t>Perdiem with out overnight for CHAS staff and facilitator (3-Technicals  )</t>
  </si>
  <si>
    <t>Travel cost by Car from BK - TP district-BK</t>
  </si>
  <si>
    <t>Travel cost by Car from VT Cap-LNT-BK-VT Cap</t>
  </si>
  <si>
    <t>Team 3:  CPS ( Sanasomboun ,Parkse,                         Bajien)                                      SLV  (LaoNgam, Salavan,                              Khongxedon)                             ATP   (Sanamxay,                                      Samakexay,Xaysetthe)</t>
  </si>
  <si>
    <t>Perdiem with overnight  for CHAS staff and facilitator(4-Technicals  )</t>
  </si>
  <si>
    <t>Perdiem  with out for CHAS staff and facilitator
(4-Technicals  )</t>
  </si>
  <si>
    <t>Travel cost by Car from VT Cap-CPS</t>
  </si>
  <si>
    <t>Travel cost by Car from CPS-ATP</t>
  </si>
  <si>
    <t>Travel cost by Car from ATP-SLV-VT Cap</t>
  </si>
  <si>
    <t>Total cost (LAK) 1+2+3</t>
  </si>
  <si>
    <t>Workshop on Condom distribution system at Vengvieng</t>
  </si>
  <si>
    <t>07 participants are from CHAS</t>
  </si>
  <si>
    <t>Travel cost by Car for VTC  -Vengvieng</t>
  </si>
  <si>
    <t>Travel cost by Car for VT Pro  -Vengvieng</t>
  </si>
  <si>
    <t>Travel cost by Car for PSL-  Vengvieng</t>
  </si>
  <si>
    <t>Travel cost by Car for LNT-Vengvieng</t>
  </si>
  <si>
    <t>Travel cost by Car for HP-Vengvieng</t>
  </si>
  <si>
    <t>Travel cost by Car for ATP-Vengvieng</t>
  </si>
  <si>
    <t>Travel cost by Car for CPS-Vengvieng</t>
  </si>
  <si>
    <t>Travel cost by Car for SK-Vengvieng</t>
  </si>
  <si>
    <t>Travel cost by Car for ODX-Vengvieng</t>
  </si>
  <si>
    <t>Travel cost by Car for LPB-Vengvieng</t>
  </si>
  <si>
    <t>Travel cost by Car for SYL-Vengvieng</t>
  </si>
  <si>
    <t>Travel cost by Car for XK-Vengvieng</t>
  </si>
  <si>
    <t>Travel cost by Car for XSB-Vengvieng</t>
  </si>
  <si>
    <t>Travel cost by Car for BKX-Vengvieng</t>
  </si>
  <si>
    <t>Travel cost by Car for KM-Vengvieng</t>
  </si>
  <si>
    <t>Travel cost by Car for SVK-Vengvieng</t>
  </si>
  <si>
    <t>Travel cost by Car for CHAS  -Vengvieng</t>
  </si>
  <si>
    <t>team 1: VT Pro, SBL,LPB,HP,XK</t>
  </si>
  <si>
    <t>Perdiem with overnight for CHAS staff and facilitator
(3-Technicals  )</t>
  </si>
  <si>
    <t>Perdiem with out overnight for CHAS staff and facilitator 
(3-Technicals )</t>
  </si>
  <si>
    <t>Travel cost by Car from VT Cap-VT Pro-XBL</t>
  </si>
  <si>
    <t>Travel cost by Car from XBL-LPB-HP</t>
  </si>
  <si>
    <t>Travel cost by Car from HP-XK-VT Cap</t>
  </si>
  <si>
    <t>team 2: ODX,BK,LNT,PSL</t>
  </si>
  <si>
    <t>Perdiem with overnight for CHAS staff
(3-Technicals  )</t>
  </si>
  <si>
    <t xml:space="preserve">Perdiem with out overnight for CHAS staff(3-Technicals ) 
</t>
  </si>
  <si>
    <t>Travel cost by Car from VT Cap-ODX-LNT-BK</t>
  </si>
  <si>
    <t>Travel cost by Car from PSL-ODX-VT Cap</t>
  </si>
  <si>
    <t>team 3: XSB,BKX,KM,SVK</t>
  </si>
  <si>
    <t>Travel cost by Car from VT Cap-XSB</t>
  </si>
  <si>
    <t>Travel cost by Car from XSB-BKX-SVK</t>
  </si>
  <si>
    <t>Travel cost by Car from SVK-VT Cap</t>
  </si>
  <si>
    <t>team 4: CPS,SLV,XK,ATP</t>
  </si>
  <si>
    <t>Travel cost by Car from VT Cap-CPS-XK,ATP</t>
  </si>
  <si>
    <t>Form</t>
  </si>
  <si>
    <t xml:space="preserve"> Condom promotion and HIV prevention activites on Universities</t>
  </si>
  <si>
    <t>Total: 100 persons</t>
  </si>
  <si>
    <t>Coffee break</t>
  </si>
  <si>
    <t>gift</t>
  </si>
  <si>
    <t>Place rental</t>
  </si>
  <si>
    <t>Preparing place</t>
  </si>
  <si>
    <t>STI Management Part I</t>
  </si>
  <si>
    <t>STI and HIV testing Annaul meeting to discuss about lesson learn on testing using, Protogol,…at Thalath-Vientaine province (3days).</t>
  </si>
  <si>
    <t>Opening remark By CDC</t>
  </si>
  <si>
    <t>Perdiem with overnight for CHAS and CDC (Director/ Dep)</t>
  </si>
  <si>
    <t>Perdiem with out overnight for CHAS and CDC (Director/ Dep)</t>
  </si>
  <si>
    <t>Perdiem with overnight for CHAS staff and facilitator and driver</t>
  </si>
  <si>
    <t>Perdiem with out overnight for CHAS staff and facilitator and driver</t>
  </si>
  <si>
    <t>Perdiem with overnight for NCLE Team and driver</t>
  </si>
  <si>
    <t>Perdiem with out overnight for NCLE Team and driver</t>
  </si>
  <si>
    <t>Perdiem with overnight for STT Team and driver</t>
  </si>
  <si>
    <t>Perdiem with out overnight for STT Team and driver</t>
  </si>
  <si>
    <t>Perdiem with overnight for MHS Team and driver</t>
  </si>
  <si>
    <t>Perdiem with out overnight for MHS Team and driver</t>
  </si>
  <si>
    <t>Perdiem with overnight for VTC Team and driver</t>
  </si>
  <si>
    <t>Perdiem with out overnight for VTC Team and driver</t>
  </si>
  <si>
    <t>Perdiem with overnight for MOH (Care department; CDC; FH; MCH ; 103 Hospital; 5 Mesa Hospital , Dermatology center, youth center</t>
  </si>
  <si>
    <t>Perdiem with out overnight for MOH (Care department; CDC; FH; MCH ; 103 Hospital; 5 Mesa Hospital , Dermatology center, youth center</t>
  </si>
  <si>
    <t>Perdiem with overnight for Sisattanak, Sikod, Saysettha, Nasaythong</t>
  </si>
  <si>
    <t>Perdiem with out overnight for Sisattanak, Sikod, Saysettha, Nasaythong</t>
  </si>
  <si>
    <t>Perdiem with overnight for CDC (Driver)</t>
  </si>
  <si>
    <t>Perdiem with out overnight for CDC (Driver)</t>
  </si>
  <si>
    <t>Perdiem with overnight for BK and PSL province and driver</t>
  </si>
  <si>
    <t>Perdiem with out overnight for BK and PSL province and driver</t>
  </si>
  <si>
    <t>Perdiem with overnight for LNT, HP, SK, ATP with driver</t>
  </si>
  <si>
    <t>Perdiem with out overnight for LNT, HP, SK, ATP with driver</t>
  </si>
  <si>
    <t>Perdiem with overnight for ODX, SY, XK, LPB, BKX, XSB, KM, SVK, SRV, CPS with driver</t>
  </si>
  <si>
    <t>Perdiem with OUT overnight for ODX, SY, XK, LPB, BKX, XSB, KM, SVK, SRV, CPS with driver</t>
  </si>
  <si>
    <t>Participant from  VT province</t>
  </si>
  <si>
    <t>Travel cost for VTP (PCCA; Province Hospital &amp; Drpo-Incenter)</t>
  </si>
  <si>
    <t>Travel cost by Car for CDC</t>
  </si>
  <si>
    <t>Travel cost by Car for NCLE</t>
  </si>
  <si>
    <t>Travel cost by Car for STT</t>
  </si>
  <si>
    <t>Travel cost by Car for MHS</t>
  </si>
  <si>
    <t>Travel cost by Car for VTE</t>
  </si>
  <si>
    <t xml:space="preserve">Car rentral </t>
  </si>
  <si>
    <t>Travel cost by Car for BK-Thalat VTP (distance: (893-71)+15= 837 Km)</t>
  </si>
  <si>
    <t>Travel cost by Car for PSL-Thalat VTP (distance: (816-71)+15= 760 Km)</t>
  </si>
  <si>
    <t>Travel cost by Car for LNT-Thalat VTP (distance: (699-71)+15= 643 Km)</t>
  </si>
  <si>
    <t>Travel cost by Car for HP-Thalat VTP (distance: (640-71)+15= 584 Km)</t>
  </si>
  <si>
    <t>Travel cost by Car for ATP-Thalat VTP (distance: 887+71+15= 973 Km)</t>
  </si>
  <si>
    <t>Travel cost by Car for CPS-Thalat VTP (distance: 675+71+15= 761 Km)</t>
  </si>
  <si>
    <t>Travel cost by Car for SLV-Thalat VTP (distance: 683+71+15= 769 Km)</t>
  </si>
  <si>
    <t>Travel cost by Car for SK-Thalat VTP (distance: 814+71+15= 900 Km)</t>
  </si>
  <si>
    <t>Travel cost by Car for ODX-Thalat VTP (distance: (584-71)+15= 528 Km)</t>
  </si>
  <si>
    <t>Travel cost by Car for LPB-Thalat VTP (distance: (387-71)+15= 331 Km)</t>
  </si>
  <si>
    <t>Travel cost by Car for SYL-Thalat VTP (distance: (459-71)+15= 403 Km)</t>
  </si>
  <si>
    <t>Travel cost by Car for XK-Thalat VTP (distance: (390-71)+15= 334 Km)</t>
  </si>
  <si>
    <t>Travel cost by Car for XSB-Thalat VTP (distance: 255+71+15= 341 Km)</t>
  </si>
  <si>
    <t>Travel cost by Car for BKX-Thalat VTP (distance: 150+71+15= 236 Km)</t>
  </si>
  <si>
    <t>Travel cost by Car for KM-Thalat VTP (distance: 353+71+15= 439 Km)</t>
  </si>
  <si>
    <t>Travel cost by Car for SVK-Thalat VTP (distance: 469+71+15= 555 Km)</t>
  </si>
  <si>
    <t>TOT training on STI  for CPS; SVK; SLV; SK; ATP; BKX; KM &amp; XSB Province Hospital at CPS province (5days).</t>
  </si>
  <si>
    <t>Perdiem with overnight for CHAS (Director/ Dep)</t>
  </si>
  <si>
    <t>Perdiem with out overnight for CHAS (Director/ Dep)</t>
  </si>
  <si>
    <t>Perdiem with overnight for CHAS staff and facilitator
(4-Technicals &amp; 1- Finance )</t>
  </si>
  <si>
    <t>Perdiem with out overnight for CHAS staff and facilitator 
(4-Technicals &amp; 1- Finance )</t>
  </si>
  <si>
    <t>Perdiem with overnight for TRAINER</t>
  </si>
  <si>
    <t>Perdiem with out overnight for TRAINNER</t>
  </si>
  <si>
    <t>Perdiem with overnight for CHAS &amp; trainer team (Driver)</t>
  </si>
  <si>
    <t>Perdiem with out overnight for CHAS &amp; trainer team (Driver)</t>
  </si>
  <si>
    <t>Perdiem with overnight for KM &amp; SVK province</t>
  </si>
  <si>
    <t>Perdiem with out overnight for KM &amp; SVK province</t>
  </si>
  <si>
    <t>Perdiem with overnight for KM &amp; SVK province (Driver)</t>
  </si>
  <si>
    <t>Perdiem with out overnight for KM &amp; SVK province (Driver)</t>
  </si>
  <si>
    <t>Perdiem with overnight for SLV; SK; ATP; BKX province</t>
  </si>
  <si>
    <t>Perdiem with out overnight for SLV; SK; ATP; BKX  province</t>
  </si>
  <si>
    <t>Perdiem with overnight for SLV; SK; ATP; BKX province (Driver)</t>
  </si>
  <si>
    <t>Perdiem with out overnight for SLV; SK; ATP; BKX (Driver)</t>
  </si>
  <si>
    <t>Perdiem with overnight for XSB province</t>
  </si>
  <si>
    <t>Perdiem with out overnight for XSB  province</t>
  </si>
  <si>
    <t>Perdiem with overnight for XSB province (Driver)</t>
  </si>
  <si>
    <t>Perdiem with out overnight for XSB (Driver)</t>
  </si>
  <si>
    <t>Participant from  CPS province</t>
  </si>
  <si>
    <t xml:space="preserve">Travel cost by Car for KM-CPS </t>
  </si>
  <si>
    <t>Travel cost by Car for SVK-CPS (distance: 248 Km)</t>
  </si>
  <si>
    <t>Travel cost by Car for SLV-CPS (distance: 144 Km)</t>
  </si>
  <si>
    <t>Travel cost by Car for SK-CPS (distance: 139 Km)</t>
  </si>
  <si>
    <t>Travel cost by Car for ATP-CPS (distance: 163 Km)</t>
  </si>
  <si>
    <t>Travel cost by Car for BKX-CPS (distance: 525 Km)</t>
  </si>
  <si>
    <t>Travel cost by Car for SLV-CPS (distance: 825 Km)</t>
  </si>
  <si>
    <t>Travel cost for CPS province (Head of PHD; Head of PCCA; PCCA technical staff &amp; Hospital technical staff)</t>
  </si>
  <si>
    <t>Travel cost by Car for CHAS &amp; Trainer team (distance: 675 Km)</t>
  </si>
  <si>
    <t>TOT training on STI  for LPB; LNT; BK; ODX; PSL; HP; XK &amp; SYL Province Hospital at LPB province (5days).</t>
  </si>
  <si>
    <t>Perdiem with overnight for BK; LNT &amp; HP province</t>
  </si>
  <si>
    <t>Perdiem with out overnight for BK; LNT &amp; HP province</t>
  </si>
  <si>
    <t>Perdiem with overnight for BK; LNT &amp; HP province (Driver)</t>
  </si>
  <si>
    <t>Perdiem with out overnight for  BK; LNT &amp; HP province (Driver)</t>
  </si>
  <si>
    <t>Perdiem with overnight for PSL; ODX; XK &amp; SYL province</t>
  </si>
  <si>
    <t>Perdiem with out overnight for PSL; ODX; XK &amp; SYL province</t>
  </si>
  <si>
    <t>Perdiem with overnight for PSL; ODX; XK &amp; SYL province (Driver)</t>
  </si>
  <si>
    <t>Perdiem with out overnight for PSL; ODX; XK &amp; SYL province (Driver)</t>
  </si>
  <si>
    <t>Participant from  LPB province</t>
  </si>
  <si>
    <t>Travel cost by Car for BK-LPB (distance: 504 Km)</t>
  </si>
  <si>
    <t>Travel cost by Car for LNT-LPB (distance: 309 Km)</t>
  </si>
  <si>
    <t>Travel cost by Car for HP-LPB (distance: 512 Km)</t>
  </si>
  <si>
    <t>Travel cost by Car for PSL-LPB (distance: 426 Km)</t>
  </si>
  <si>
    <t>Travel cost by Car for ODX-LPB (distance: 194 Km)</t>
  </si>
  <si>
    <t>Travel cost by Car for XK-LPB (distance: 262 Km)</t>
  </si>
  <si>
    <t>Travel cost by Car for SYL-LPB (distance: 117 Km)</t>
  </si>
  <si>
    <t>Travel cost for LPB province (Head of PHD; Head of PCCA; PCCA technical staff &amp; Hospital technical staff)</t>
  </si>
  <si>
    <t>Travel cost by Car for CHAS &amp; traineer team (distance: 387 Km)</t>
  </si>
  <si>
    <t>TOT training on STI at Thalath-Vientaine province (5days).</t>
  </si>
  <si>
    <t>Perdiem with overnight for CDC, Care department , TB</t>
  </si>
  <si>
    <t>Perdiem with out overnight for CDC, Care department , TB</t>
  </si>
  <si>
    <t xml:space="preserve">Perdiem with overnight for MHS, STT, 103, 109, Dermatology, FH, MCH </t>
  </si>
  <si>
    <t xml:space="preserve">Perdiem with out overnight for MHS, STT, 103, 109, Dermatology, FH, MCH </t>
  </si>
  <si>
    <t>Perdiem with overnight for VTC PCCA and District hospital</t>
  </si>
  <si>
    <t>Perdiem with out overnight for VTC PCCA and District hospital</t>
  </si>
  <si>
    <t>Participant from  VTP (PCCA; Province Hospital &amp; Drpo-Incenter)</t>
  </si>
  <si>
    <t>Perdiem with overnight for VV District hospital and driver</t>
  </si>
  <si>
    <t>Perdiem with out overnight for VV District hospital and driver</t>
  </si>
  <si>
    <t>Travel cost by Bus rental (45 seats)</t>
  </si>
  <si>
    <t>Travel cost by Car for CHAS &amp; trainer team (distance: 71+15= 86 Km)</t>
  </si>
  <si>
    <t>Travel cost for VV district</t>
  </si>
  <si>
    <t>Suppervise STI and HIV TESTING  service to HTC for Central hospital, DIC and Provinces has DIC and procince has PEER asG SY, SRV…</t>
  </si>
  <si>
    <t>Perdiem with overnight for CHAS to ODX, PSL (Team1)</t>
  </si>
  <si>
    <t>Perdiem with out overnight for CHAS</t>
  </si>
  <si>
    <t>Team1 Visits: ODX, PSL</t>
  </si>
  <si>
    <t xml:space="preserve">Perdiem with overnight for PSL driver and PCCA to ODX  and PSL district </t>
  </si>
  <si>
    <t>Team2 Visits: LNT, BK, TP</t>
  </si>
  <si>
    <t xml:space="preserve">Perdiem with out overnight for PSL driver and PCCA to ODX  and PSL district </t>
  </si>
  <si>
    <t>Team3 Visits: LPB, SY</t>
  </si>
  <si>
    <t>Perdiem with overnight for  ODX driver and PCCA to district</t>
  </si>
  <si>
    <t>Team4 Visits: XK, HP</t>
  </si>
  <si>
    <t>Perdiem with out overnight for  ODX driver and PCCA to district</t>
  </si>
  <si>
    <t>Team5 Visits: BKX, SSB</t>
  </si>
  <si>
    <t>Travel cost by Plan from VTC to ODX province</t>
  </si>
  <si>
    <t>Team6 Visits: KM, SVK</t>
  </si>
  <si>
    <t>Gasoline for using from PSL-ODX-PSL-Bountai-ODX</t>
  </si>
  <si>
    <t>Team7 Visits: SRV, SK</t>
  </si>
  <si>
    <t>Gasoline for using in rural area BOUNTAI PSL</t>
  </si>
  <si>
    <t>Team8 Visits:CPS, ATP</t>
  </si>
  <si>
    <t>Gasoline for using in rural area ODX, BENG DISTRICT</t>
  </si>
  <si>
    <t>Team9 Visits: VCP (4 DIC, 1YC, 2 district hospital,)</t>
  </si>
  <si>
    <t>Travel cost per person per time for VTC</t>
  </si>
  <si>
    <t>Team10 Visits: MHS, STT, 103, 5 April, MCH, FS, Dermatitis center</t>
  </si>
  <si>
    <t>Perdiem with overnight for CHAS to BK, TP, LNT (Team2)</t>
  </si>
  <si>
    <t>Perdiem with overnight for LNT driver to BK-LNT</t>
  </si>
  <si>
    <t>Perdiem with out overnight for  LNT driver</t>
  </si>
  <si>
    <t>Perdiem with out overnight for  BK PCCA to TP</t>
  </si>
  <si>
    <t>Perdiem with overnight for BK PCCA</t>
  </si>
  <si>
    <t>Perdiem with out overnight for  LNT PCCA and Driver</t>
  </si>
  <si>
    <t>Perdiem with overnight forLNT PCCA and Driver</t>
  </si>
  <si>
    <t>Travel cost by Plan from VTC to LNT province</t>
  </si>
  <si>
    <t>Gasoline for using from LNT-BK</t>
  </si>
  <si>
    <t>Gasoline for using in rural area (BK-TP-BK)</t>
  </si>
  <si>
    <t>Gasoline for using from LNT-district</t>
  </si>
  <si>
    <t>Gasoline for using in rural area(BK, TP, LNT)</t>
  </si>
  <si>
    <t>Perdiem with overnight for CHAS to LPB, SY (Team3)</t>
  </si>
  <si>
    <t>Perdiem with overnight for LPB driver to SY to LPB</t>
  </si>
  <si>
    <t>Perdiem with out overnight for LPB driver to SY to LPB</t>
  </si>
  <si>
    <t>Travel cost by plan from VTC to LPB province</t>
  </si>
  <si>
    <t>Gasoline for using from LPB-SY-LPB (=117 KM)</t>
  </si>
  <si>
    <t>Gasoline for using in rural area (SY, LPB)</t>
  </si>
  <si>
    <t>Perdiem with overnight for CHAS to XK-HP (Team4)</t>
  </si>
  <si>
    <t>Perdiem with overnight for XK driver to HP</t>
  </si>
  <si>
    <t>Perdiem with out overnight for XK driver to HP</t>
  </si>
  <si>
    <t>Travel cost by plan from VTC to XK province</t>
  </si>
  <si>
    <t>Gasoline for using from XK-HP-XK(=250 KM)</t>
  </si>
  <si>
    <t>Gasoline for using in rural area (XK, HP)</t>
  </si>
  <si>
    <t>Perdiem with overnight for CHAS to BKX-SXB (Team5)</t>
  </si>
  <si>
    <t>Travel cost by CAR from VTC to XSB, BKX province (405KM)</t>
  </si>
  <si>
    <t>Gasoline for using in rural area (BKX, XSB )</t>
  </si>
  <si>
    <t>Perdiem with overnight for CHAS to KM-SVK (Team6)</t>
  </si>
  <si>
    <t>Travel cost by CAR from VTC to SVK, KM province (469KM)</t>
  </si>
  <si>
    <t>Gasoline for using in rural area ( SVK, KM )</t>
  </si>
  <si>
    <t>Perdiem with overnight for CHAS to SRV-SK (Team7)</t>
  </si>
  <si>
    <t>Travel cost by CAR from VTC to SRV, SK province (814KM)</t>
  </si>
  <si>
    <t>Gasoline for using in rural area ( SRV, SK )</t>
  </si>
  <si>
    <t>Perdiem with overnight for CHAS to ATP-CPS (Team8)</t>
  </si>
  <si>
    <t>Perdiem with overnight for CPS driver</t>
  </si>
  <si>
    <t>Perdiem with out overnight for CPS Driver</t>
  </si>
  <si>
    <t>Travel cost by plan from VTC to CPS province</t>
  </si>
  <si>
    <t>Gasoline for using from CPS-ATP-CPS (163 KM)</t>
  </si>
  <si>
    <t>Gasoline for using in rural area</t>
  </si>
  <si>
    <t>Perdiem with overnight for CHAS to VTP-VV (Team9)</t>
  </si>
  <si>
    <t>Travel cost by CAR from VTC to VTP, VV province (814KM)</t>
  </si>
  <si>
    <t>Gasoline for using in rural area ( VTP,VV  )</t>
  </si>
  <si>
    <t>Total cost</t>
  </si>
  <si>
    <r>
      <rPr>
        <b/>
        <sz val="8"/>
        <rFont val="Phetsarath OT"/>
        <family val="2"/>
      </rPr>
      <t xml:space="preserve">Consultation meeting with FDD to expect STI drug into Basic list </t>
    </r>
    <r>
      <rPr>
        <b/>
        <sz val="8"/>
        <rFont val="Calibri"/>
        <family val="2"/>
      </rPr>
      <t>at Mercure (2 days)</t>
    </r>
  </si>
  <si>
    <t>Participant from CHAS Director</t>
  </si>
  <si>
    <t>Participants from FDD and TECHNICAL</t>
  </si>
  <si>
    <t xml:space="preserve">Participant from care department </t>
  </si>
  <si>
    <t>Participant from MHS</t>
  </si>
  <si>
    <t>Participant from STT</t>
  </si>
  <si>
    <t>Participant from FH</t>
  </si>
  <si>
    <t>University for Medical</t>
  </si>
  <si>
    <t xml:space="preserve">CHAS team </t>
  </si>
  <si>
    <t xml:space="preserve">Travel Cost </t>
  </si>
  <si>
    <t>Meeting room Package: 
(Room rental; Lunch &amp; Coffee break for participants).</t>
  </si>
  <si>
    <r>
      <rPr>
        <b/>
        <sz val="8"/>
        <rFont val="Phetsarath OT"/>
        <family val="2"/>
      </rPr>
      <t>Printing STI GL, HIV testing GL, HIV lab logbook, CD4 logbook, cd4 REQUEST SHEET</t>
    </r>
  </si>
  <si>
    <t>STI GL</t>
  </si>
  <si>
    <t>HIV testing GL</t>
  </si>
  <si>
    <t>HIV testing Logbook</t>
  </si>
  <si>
    <t>CD4 logbook</t>
  </si>
  <si>
    <t>CD4 rewuest fORM</t>
  </si>
  <si>
    <t>Cost per person per day (LAK)</t>
  </si>
  <si>
    <t>Workshop to Review and develop tool for STI assesement at Women Union , (2days).</t>
  </si>
  <si>
    <t>Opening remark by CHAS</t>
  </si>
  <si>
    <t>Participant from CHAS</t>
  </si>
  <si>
    <t>Participant from Setthathirat Hospital</t>
  </si>
  <si>
    <t>Participant from 103 HOSPITAL</t>
  </si>
  <si>
    <t>Participant from Mahosot Hospital</t>
  </si>
  <si>
    <t xml:space="preserve">Participant from CENTER FOR DERMATOLOGY </t>
  </si>
  <si>
    <t xml:space="preserve">Participant from Medical univercity </t>
  </si>
  <si>
    <t>Participant from VTE PCCA</t>
  </si>
  <si>
    <t>WHO, UNAIDS, CS0, USCDC</t>
  </si>
  <si>
    <t>Psrticipants from CDC, Care department , ncle</t>
  </si>
  <si>
    <t>Workshop to Finalyse tool for STI assesement at Mercure, (2days).</t>
  </si>
  <si>
    <t>Meeting room Package (Room rental; Lunch &amp; Coffee break for participants).</t>
  </si>
  <si>
    <t>Pretest assessement form</t>
  </si>
  <si>
    <t>Data analysis</t>
  </si>
  <si>
    <t>Printing/COPY</t>
  </si>
  <si>
    <t>Travel cost for Pretest team</t>
  </si>
  <si>
    <t>Data analysis for Pretest assessement form by CHAS</t>
  </si>
  <si>
    <t>Writing Prepairing</t>
  </si>
  <si>
    <r>
      <rPr>
        <b/>
        <sz val="8"/>
        <rFont val="Phetsarath OT"/>
        <family val="2"/>
      </rPr>
      <t xml:space="preserve">Trainign on Assessement STI form </t>
    </r>
    <r>
      <rPr>
        <b/>
        <sz val="8"/>
        <rFont val="Calibri"/>
        <family val="2"/>
      </rPr>
      <t xml:space="preserve"> at Thalath-Vientaine province (5days).</t>
    </r>
  </si>
  <si>
    <t>Perdiem with overnight for CHAS staff and facilitator
(7-Technicals &amp; 1- Finance )</t>
  </si>
  <si>
    <t>Perdiem with out overnight for CHAS staff and facilitator 
(7-Technicals &amp; 1- Finance )</t>
  </si>
  <si>
    <t>Perdiem with overnight for trainner</t>
  </si>
  <si>
    <t>Perdiem with out overnight for trainner</t>
  </si>
  <si>
    <t>Perdiem with overnight for driver</t>
  </si>
  <si>
    <t>Perdiem with out overnight for driver</t>
  </si>
  <si>
    <t>Perdiem with overnight forMHS, STT, Dermatology center</t>
  </si>
  <si>
    <t>Perdiem with out overnight for MHS, STT, Dermatology center</t>
  </si>
  <si>
    <t>Perdiem with overnight for VTC pcca</t>
  </si>
  <si>
    <t>Perdiem with out overnight for VTC pcca</t>
  </si>
  <si>
    <t xml:space="preserve">Travel cost by Car for CHAS </t>
  </si>
  <si>
    <t xml:space="preserve">Site Assessement </t>
  </si>
  <si>
    <t>Stationary</t>
  </si>
  <si>
    <t xml:space="preserve">Data Analysis and printing on STI assesment </t>
  </si>
  <si>
    <t>Data Key entry</t>
  </si>
  <si>
    <t>Writing report</t>
  </si>
  <si>
    <t>Printing</t>
  </si>
  <si>
    <t>Dissemination and advocacy meeting, for implementing and determine strategic on HIV Testing at Donchanh Hotel (3days).</t>
  </si>
  <si>
    <t>Participant from MOH (Care department; CDC; MHS, STT, FS, 103, 5APRIL, MCH, Dermatologis, VTE pcca</t>
  </si>
  <si>
    <t>Participant from WHO ,US CDC, UNAIDS, Health scholl</t>
  </si>
  <si>
    <t>Perdiem with overnight for BK province + driver</t>
  </si>
  <si>
    <t>Perdiem with out overnight for BK province + driver</t>
  </si>
  <si>
    <t>Perdiem with overnight for LNT; HP &amp; ATP, SK province + driver</t>
  </si>
  <si>
    <t>Perdiem with out overnight for LNT; HP &amp; ATP, SK province + driver</t>
  </si>
  <si>
    <t>Perdiem with overnight for VTP, LPB, XK, SY, CPS, SLV province + driver</t>
  </si>
  <si>
    <t>Perdiem with out overnight for VTP, LPB, XK, SY, CPS, SLV province + driver</t>
  </si>
  <si>
    <t>Travel cost by Car for VTP-VTC (distance: 71 Km)</t>
  </si>
  <si>
    <t>Travel cost by Car for BK-VTC (distance: 893 Km)</t>
  </si>
  <si>
    <t>Travel cost by Car for LNT-VTC (distance: 699 Km)</t>
  </si>
  <si>
    <t>Travel cost by Car for HP-VTC (distance: 640 Km)</t>
  </si>
  <si>
    <t>Travel cost by Car for ATP-VTC (distance: 887 Km)</t>
  </si>
  <si>
    <t>Travel cost by Car for CPS-VTC (distance: 675 Km)</t>
  </si>
  <si>
    <t>Travel cost by Car for SLV-VTC (distance: 683 Km)</t>
  </si>
  <si>
    <t>Travel cost by Car for SK-VTC (distance: 814 Km)</t>
  </si>
  <si>
    <t>Travel cost by Car for LPB-VTC (distance: 387 Km)</t>
  </si>
  <si>
    <t>Travel cost by Car for SYL-VTC (distance: 459 Km)</t>
  </si>
  <si>
    <t>Travel cost by Car for XK-VTC (distance: 390 Km)</t>
  </si>
  <si>
    <t>Total STI</t>
  </si>
  <si>
    <t>Component 3:  Treatment, Care and Support</t>
  </si>
  <si>
    <t>HIV TESTING AND COUNSELING</t>
  </si>
  <si>
    <t>1.1.1</t>
  </si>
  <si>
    <t xml:space="preserve">HIV/AIDS Referal system annual meeting @ VTE (Mercure) 2 days With Thai team </t>
  </si>
  <si>
    <t>Opening remark by CDC head</t>
  </si>
  <si>
    <t>Participant from 11 CHAS,2 CDC, 2 Care department, 6 CDC thai , 3 who &amp; uscdc, 1 unaids, 2 LAOPHAR, 3 MOH</t>
  </si>
  <si>
    <t>Participant from Friendship Hospital</t>
  </si>
  <si>
    <t>Perdiem with overnight for KM; SVK; CPS &amp; LPB province</t>
  </si>
  <si>
    <t>Perdiem with out overnight for KM; SVK; CPS &amp; LPB province</t>
  </si>
  <si>
    <t>Perdiem with overnight for KM; SVK; CPS &amp; LPB province (Driver)</t>
  </si>
  <si>
    <t>Perdiem with out overnight for KM; SVK; CPS &amp; LPB province (Driver)</t>
  </si>
  <si>
    <t>Perdiem with overnight for ; LNT &amp; HP province</t>
  </si>
  <si>
    <t>Perdiem with out overnight for ; LNT &amp; HP province</t>
  </si>
  <si>
    <t>Perdiem with overnight for ; LNT &amp; HP province (Driver)</t>
  </si>
  <si>
    <t>Perdiem with out overnight for ; LNT &amp; HP province (Driver)</t>
  </si>
  <si>
    <t>Perdiem with overnight for BK province</t>
  </si>
  <si>
    <t>Perdiem with out overnight for BKprovince</t>
  </si>
  <si>
    <t>Perdiem with overnight for BK; P province (Driver)</t>
  </si>
  <si>
    <t>Perdiem with out overnight for BK; LNT &amp; HP province (Driver)</t>
  </si>
  <si>
    <t>Travel cost for KM province by Car (distance= 353 Km)</t>
  </si>
  <si>
    <t>Travel cost for SVK province by Car (distance= 469 Km)</t>
  </si>
  <si>
    <t>Travel cost for CPS province by Car (distance= 675 Km)</t>
  </si>
  <si>
    <t>Travel cost for LPB province by Car (distance= 387 Km)</t>
  </si>
  <si>
    <t>Travel cost for BK province by Car (distance= 893 Km)</t>
  </si>
  <si>
    <t>Travel cost for LNT province by Car (distance= 699 Km)</t>
  </si>
  <si>
    <t>Travel cost for HP province by Car (distance= 640 Km)</t>
  </si>
  <si>
    <t>1.1.2</t>
  </si>
  <si>
    <t>Workshop to Lesson Learn onARV Treatment and  VL &amp; CD4 and MDR at Mercure.</t>
  </si>
  <si>
    <t xml:space="preserve">Opening remark by CDC head D </t>
  </si>
  <si>
    <t>Participant from CHAS, CDC, Care department, NCLE, CCMR, CHAI, WHO, CDCUS, TUC</t>
  </si>
  <si>
    <t>Perdiem with out overnight for  LNT &amp; HP province</t>
  </si>
  <si>
    <t>Perdiem with overnight for LNT &amp; HP province (Driver)</t>
  </si>
  <si>
    <t>Perdiem with out overnight for  LNT &amp; HP province (Driver)</t>
  </si>
  <si>
    <t>Perdiem with out overnight for BK province</t>
  </si>
  <si>
    <t>Perdiem with overnight for BK province (Driver)</t>
  </si>
  <si>
    <t>Perdiem with out overnight for BK (Driver)</t>
  </si>
  <si>
    <t>1.1.3.1</t>
  </si>
  <si>
    <t>Refresser Training for Implement laboratory HIV testing and quality system  and VCT Training for CPS; SVK; SLV; SK; ATP; BKX; KM &amp; XSB Province Hospital at CPS province (4days).</t>
  </si>
  <si>
    <t>Perdiem with overnight for CHAS staff and facilitator
(3-Technicals &amp; 1- Finance )</t>
  </si>
  <si>
    <t>Perdiem with out overnight for CHAS staff and facilitator 
(3-Technicals &amp; 1- Finance )</t>
  </si>
  <si>
    <t>Perdiem with overnight for NCLE staff and facilitator
(4-Technicals)</t>
  </si>
  <si>
    <t>Perdiem with out overnight for NCLE staff and facilitator 
(4-Technicals)</t>
  </si>
  <si>
    <t>Perdiem with overnight for CHAS &amp; NCLE team (Driver)</t>
  </si>
  <si>
    <t>Perdiem with out overnight for CHAS &amp; NCLE team (Driver)</t>
  </si>
  <si>
    <t>05 participants are from CHAS.</t>
  </si>
  <si>
    <t>04 participants are from NCLE.</t>
  </si>
  <si>
    <t>37 participants are from provinces.</t>
  </si>
  <si>
    <t>Total: 46 participants</t>
  </si>
  <si>
    <t>Perdiem with overnight for SLV; SK; ATP; BKX  province</t>
  </si>
  <si>
    <t>Perdiem with overnight for SLV; SK; ATP; BKX  province (Driver)</t>
  </si>
  <si>
    <t>Perdiem with out overnight for SLV; SK; ATP; BKX  province (Driver)</t>
  </si>
  <si>
    <t>Perdiem with overnight for XSB  province</t>
  </si>
  <si>
    <t>Perdiem with out overnight for XSB  province (Driver)</t>
  </si>
  <si>
    <t>Travel cost by Car for XSB-CPS (distance: 825 Km)</t>
  </si>
  <si>
    <t>Travel cost by Car for KM-CPS (distance: 825 Km)</t>
  </si>
  <si>
    <t>Travel cost by Car for CHAS &amp; NCLE team (distance: 675 Km)</t>
  </si>
  <si>
    <t>Travel cost for CHAS &amp; NCLE team in local</t>
  </si>
  <si>
    <t>1.1.3.2</t>
  </si>
  <si>
    <t>Refresser Training for Implement laboratory HIV testing and quality system  and VCT for LPB; LNT; BK; ODX; PSL; HP; XK &amp; SYL Province Hospital at LPB province (4days).</t>
  </si>
  <si>
    <t>38 participants are from provinces.</t>
  </si>
  <si>
    <t>Total: 47 participants</t>
  </si>
  <si>
    <t>Travel cost by Car for CHAS &amp; NCLE team (distance: 387 Km)</t>
  </si>
  <si>
    <t>1.1.3.3</t>
  </si>
  <si>
    <t>Refresser Training for Implement laboratory HIV testing and quality system  AND vct for Hospital in VTC and VTP at Thalath-Vientaine province (4days).</t>
  </si>
  <si>
    <t>Perdiem with overnight for CHAS staff and facilitator
(6-Technicals &amp; 1- Finance )</t>
  </si>
  <si>
    <t>Perdiem with out overnight for CHAS staff and facilitator 
(6-Technicals &amp; 1- Finance )</t>
  </si>
  <si>
    <t xml:space="preserve">Perdiem with overnight for NCLE </t>
  </si>
  <si>
    <t xml:space="preserve">Perdiem with out overnight for NCLE </t>
  </si>
  <si>
    <t>Perdiem with overnight for TRAINNER</t>
  </si>
  <si>
    <t>Perdiem with overnight for CHAS  team (Driver)</t>
  </si>
  <si>
    <t>Perdiem with out overnight for CHAS  team (Driver)</t>
  </si>
  <si>
    <t>Perdiem with overnight for VTC (MOH; PCCA; Central Hospital; District hospital; NDC and Lao youth center, TB)</t>
  </si>
  <si>
    <t>Perdiem with out overnight for VTC (MOH; PCCA; Central Hospital; District hospital; NDC and Lao youth center TB)</t>
  </si>
  <si>
    <t>Perdiem with overnight for Vangvieng hospital</t>
  </si>
  <si>
    <t>Perdiem with out overnight for Vangvieng hospital</t>
  </si>
  <si>
    <t>Perdiem with overnight for Vangvieng hospital (Driver)</t>
  </si>
  <si>
    <t>Perdiem with out overnight forVangvieng hospital(Driver)</t>
  </si>
  <si>
    <t>Travel cost for VTP (PCCA; Province Hospital &amp; Drpo-Incenter district hospital)</t>
  </si>
  <si>
    <t>Travel cost by Car for CHAS &amp; NCLE team (distance: 71+15= 86 Km)</t>
  </si>
  <si>
    <t xml:space="preserve">Travel cost for Vangcieng </t>
  </si>
  <si>
    <t xml:space="preserve">total  HIV testing </t>
  </si>
  <si>
    <t xml:space="preserve">Total :  2018 </t>
  </si>
  <si>
    <t>Budget contribution from Government 2019</t>
  </si>
  <si>
    <t>Component1: Enabling Environment</t>
  </si>
  <si>
    <t>Project1</t>
  </si>
  <si>
    <t xml:space="preserve"> Development  strategy and work plan 2021-2030</t>
  </si>
  <si>
    <t>Budget Line No.</t>
  </si>
  <si>
    <t>Activity Description</t>
  </si>
  <si>
    <t>Item Description</t>
  </si>
  <si>
    <t>Unit Cost</t>
  </si>
  <si>
    <t>Number of persons</t>
  </si>
  <si>
    <t xml:space="preserve"> Duration (days)</t>
  </si>
  <si>
    <t>Total in LAK</t>
  </si>
  <si>
    <t>Workshop prepare development  tools to collect  data befor  Development strategy 2021-2030, 9 days</t>
  </si>
  <si>
    <t>Total: 30 participants</t>
  </si>
  <si>
    <t>Testing assessment tools</t>
  </si>
  <si>
    <t>Training  on using HIV/AIDS tools 5 days at Thalad</t>
  </si>
  <si>
    <t>04 participant  are from CHAS.</t>
  </si>
  <si>
    <t>39 participant are from  provinces.</t>
  </si>
  <si>
    <t>Total: 43 participants</t>
  </si>
  <si>
    <t>Perdiem with overnight for CHAS ( Dep and Staffs)</t>
  </si>
  <si>
    <t>Perdiem with out overnight for CHAS ( Dep and Staffs)</t>
  </si>
  <si>
    <t>Perdiem with overnight for CHAS driver</t>
  </si>
  <si>
    <t xml:space="preserve">Perdiem with out overnight for CHAS 
</t>
  </si>
  <si>
    <t>Perdiem with overnight for line ministries</t>
  </si>
  <si>
    <t>Perdiem with out overnight for  line ministries</t>
  </si>
  <si>
    <t>Bus rental for Line Ministries</t>
  </si>
  <si>
    <t>Travel cost for CHAS to Thalad</t>
  </si>
  <si>
    <t>Baner</t>
  </si>
  <si>
    <t>IV</t>
  </si>
  <si>
    <t>Data collection PSL, ODX,HP,LNT,BK, SYL,LPB,SK,VT Pro, BLX KM,SVK, CPS, ATP, SLV, XK,VT Cap</t>
  </si>
  <si>
    <t>Data collection  ODX</t>
  </si>
  <si>
    <t>Perdiem with overnight for CHAS (Director/ Dep) to ODX</t>
  </si>
  <si>
    <t>Perdiem with out overnight for CHAS (Director/ Dep) to ODX</t>
  </si>
  <si>
    <t>Perdiem with overnight for  CHAS  Staffs)</t>
  </si>
  <si>
    <t>Perdiem with out overnight for CHAS  Staffs)</t>
  </si>
  <si>
    <t xml:space="preserve">Perdiem with out overnight for facilitator at Province and driver
</t>
  </si>
  <si>
    <t>Data collection  psl</t>
  </si>
  <si>
    <t>Perdiem with overnight for CHAS (Director/ Dep) toPSL</t>
  </si>
  <si>
    <t>Perdiem with out overnight for CHAS (Director/ Dep) to PSL</t>
  </si>
  <si>
    <t>Travel cost by Car for CHAS  (distance:  816 Km)</t>
  </si>
  <si>
    <t>Data collection  LNT</t>
  </si>
  <si>
    <t xml:space="preserve">Perdiem with overnight for CHAS (Director/ Dep) to </t>
  </si>
  <si>
    <t xml:space="preserve">Perdiem with out overnight for CHAS (Director/ Dep) to </t>
  </si>
  <si>
    <t>Perdiem with overnight for  CHAS  Staffs and line ministry</t>
  </si>
  <si>
    <t>Perdiem with out overnight for CHAS  Staffs and line ministry</t>
  </si>
  <si>
    <t>Data collection  BK</t>
  </si>
  <si>
    <t>Perdiem with overnight for CHAS (Director/ Dep) to</t>
  </si>
  <si>
    <t>Data collection  LPB</t>
  </si>
  <si>
    <t>Data collection  XBL</t>
  </si>
  <si>
    <t>Perdiem with overnight for CHAS (Director/ Dep) to XBL</t>
  </si>
  <si>
    <t>Perdiem with out overnight for CHAS (Director/ Dep) to XBL</t>
  </si>
  <si>
    <t>Travel cost by Car for CHAS  (distance:  459 Km)</t>
  </si>
  <si>
    <t>Data collection  XK</t>
  </si>
  <si>
    <t>Travel cost by Plan from VTC to XK province</t>
  </si>
  <si>
    <t>Data collection  HP</t>
  </si>
  <si>
    <t>Travel cost by Car for CHAS  (distance:  640 Km)</t>
  </si>
  <si>
    <t>Data collection at BKX, KM</t>
  </si>
  <si>
    <t>4.9.1</t>
  </si>
  <si>
    <t>Data collection  BKX</t>
  </si>
  <si>
    <t>Travel cost by Car for CHAS  (distance:  150 Km)</t>
  </si>
  <si>
    <t>Travel cost from BKX-KM  (distance:  203 Km)</t>
  </si>
  <si>
    <t>4.9.2</t>
  </si>
  <si>
    <t>Data collection  KM</t>
  </si>
  <si>
    <t>Travel cost from KM-VT Cap  (distance:  353 Km)</t>
  </si>
  <si>
    <t>Data collection  SVK, CPS</t>
  </si>
  <si>
    <t>Data collection  SVK</t>
  </si>
  <si>
    <t>Travel cost from SVK - CPS  (distance: 469 Km)</t>
  </si>
  <si>
    <t>Travel cost from VCP - SVK(distance: 248Km)</t>
  </si>
  <si>
    <t>Data collection  CPS</t>
  </si>
  <si>
    <t>Travel cost from CPS-VT Cap  (distance:  675 Km)</t>
  </si>
  <si>
    <t>Data collection at SLV, XK, ATP</t>
  </si>
  <si>
    <t>5.3.1</t>
  </si>
  <si>
    <t>Data collection  SLV</t>
  </si>
  <si>
    <t>Travel cost from -VT -SLV Cap  (distance:  683 Km)</t>
  </si>
  <si>
    <t>Travel cost from -SLV-XK Cap  (distance:  86 Km)</t>
  </si>
  <si>
    <t>5.3.2</t>
  </si>
  <si>
    <t>Perdiem with overnight for CHAS (Director/ Dep) to XK</t>
  </si>
  <si>
    <t>Perdiem with out overnight for CHAS (Director/ Dep) to XK</t>
  </si>
  <si>
    <t>Travel cost from XK-ATP (distance:  78 Km)</t>
  </si>
  <si>
    <t>5.3.3</t>
  </si>
  <si>
    <t>Data collection  ATP</t>
  </si>
  <si>
    <t>Perdiem with overnight for CHAS (Director/ Dep) toAP</t>
  </si>
  <si>
    <t>Perdiem with out overnight for CHAS (Director/ Dep) to AP</t>
  </si>
  <si>
    <t>Travel cost from ATP-VT Cap (distance:  887 Km)</t>
  </si>
  <si>
    <t>Data collection  VT Prov</t>
  </si>
  <si>
    <t>Travel cost fromVT Cap-VT Prov-VT Cap (distance:  86 Km)</t>
  </si>
  <si>
    <t>Data collection  VT Cap</t>
  </si>
  <si>
    <t>Tools for Survey</t>
  </si>
  <si>
    <t>tools</t>
  </si>
  <si>
    <t>mobile Card</t>
  </si>
  <si>
    <t>V</t>
  </si>
  <si>
    <t>Analysis, writing report and printing</t>
  </si>
  <si>
    <t>Analysis</t>
  </si>
  <si>
    <t>scan</t>
  </si>
  <si>
    <t>writing report</t>
  </si>
  <si>
    <t>printing</t>
  </si>
  <si>
    <t>VI</t>
  </si>
  <si>
    <t>workshop to report result of survey at thalad, 1days</t>
  </si>
  <si>
    <t>18 participant are from CHAS.</t>
  </si>
  <si>
    <t>47 participant are from provinces.</t>
  </si>
  <si>
    <t>Total: 65 participants</t>
  </si>
  <si>
    <t>Perdiem with overnight for CHAS 17 ( Dep and  Staffs)</t>
  </si>
  <si>
    <t>Perdiem with out overnight for CHAS 17 ( Dep and Staffs)</t>
  </si>
  <si>
    <t xml:space="preserve">Perdiem with out overnight for CHAS   driver
</t>
  </si>
  <si>
    <t xml:space="preserve">Perdiem with overnight for line ministries  and Center </t>
  </si>
  <si>
    <t>Perdiem with out overnight for  line ministries Center</t>
  </si>
  <si>
    <t>Perdiem with overnight for  Center  MCH , CLE, TB, IEC medical center</t>
  </si>
  <si>
    <t>Perdiem with out overnight for  Center MCH , CLE, TB, IEC medical center</t>
  </si>
  <si>
    <t>Perdiem with overnight for 4 Center driver</t>
  </si>
  <si>
    <t xml:space="preserve">Perdiem with out overnight for4 Center driver
</t>
  </si>
  <si>
    <t>Perdiem with overnight for 6 Center  hospital</t>
  </si>
  <si>
    <t>Perdiem with out overnight for   6 Center  hospital</t>
  </si>
  <si>
    <t>Perdiem with overnight for VT cap ( Head of PCCA)</t>
  </si>
  <si>
    <t>Perdiem with out overnight for  VT cap  ( Head of PCCA)</t>
  </si>
  <si>
    <t>Perdiem with overnight for VT cap   (PCCA,2MSM peer, 2SW Peer, 2APL+)</t>
  </si>
  <si>
    <t>Perdiem with out overnight for  VT cap  (PCCA,2MSM peer, 2SW Peer, 2APL+)</t>
  </si>
  <si>
    <t>Perdiem with overnight for VT cap driver</t>
  </si>
  <si>
    <t xml:space="preserve">Perdiem with out overnight for VT cap driver
</t>
  </si>
  <si>
    <t>Perdiem with overnight for CPS,SVK,LPB( Head of PCCA)</t>
  </si>
  <si>
    <t>Perdiem with out overnight for  CPS,SVK,LPB( Head of PCCA)</t>
  </si>
  <si>
    <t>Perdiem with overnight for    CPS,SVK,LPB (PCCA,ARV,)</t>
  </si>
  <si>
    <t>Perdiem with out overnight for CPS,SVK,LPB (PCCA,ARV, )</t>
  </si>
  <si>
    <t>Perdiem with overnight for  CPS,SVK,LPB  driver</t>
  </si>
  <si>
    <t xml:space="preserve">Perdiem with out overnight for CPS,SVK,LPB  driver
</t>
  </si>
  <si>
    <t>Gasoline for VT cap   to Thalad</t>
  </si>
  <si>
    <t>Gasoline for      SVK  to Thalad</t>
  </si>
  <si>
    <t>Gasoline for      CPS  to Thalad</t>
  </si>
  <si>
    <t>Gasoline for       LPB  to Thalad</t>
  </si>
  <si>
    <t>Travel cost for MCH , CLE, TB, IEC medical center to Thalad</t>
  </si>
  <si>
    <t>Gasoline for CHAS  in rural area</t>
  </si>
  <si>
    <t>Gasoline for MCH,CLE,TB,IEC medical center  in rural area</t>
  </si>
  <si>
    <t>Gasoline for VT cap,SVK,CPS,LPB material  in rural area</t>
  </si>
  <si>
    <t>Rental Bus for Line Ministries</t>
  </si>
  <si>
    <t xml:space="preserve">Rental Room </t>
  </si>
  <si>
    <t>VII</t>
  </si>
  <si>
    <t>workshop on  making work plan at thalad, 5days</t>
  </si>
  <si>
    <t>04 participant are from CHAS.</t>
  </si>
  <si>
    <t>11 participant are from department of MOH</t>
  </si>
  <si>
    <t>Perdiem with overnight for CHAS (Director/ Dep)+ CDC</t>
  </si>
  <si>
    <t>12 participant are from Line Ministries</t>
  </si>
  <si>
    <t>Perdiem with  out overnight for CHAS (Director/ Dep)+ CDC</t>
  </si>
  <si>
    <t>9 participant are from Centers</t>
  </si>
  <si>
    <t>6 Participant are from 6 Central hospitals</t>
  </si>
  <si>
    <t>121 participant are from Provinces</t>
  </si>
  <si>
    <t>Total: 123 participants</t>
  </si>
  <si>
    <t xml:space="preserve">Perdiem with overnight for 11 department of MOH </t>
  </si>
  <si>
    <t xml:space="preserve">Perdiem with out overnight for  11 department of MOH </t>
  </si>
  <si>
    <t xml:space="preserve">Perdiem with overnight for line ministries  </t>
  </si>
  <si>
    <t xml:space="preserve">Perdiem with out overnight for  line ministries </t>
  </si>
  <si>
    <t>Perdiem with overnight for  Head of  MCH , CLE, TB, IEC medical , Medical Products Supply Center, Dermatology center,University , Blood safty, Lao Red cross)</t>
  </si>
  <si>
    <t>Perdiem with out overnight for  Head of  MCH , CLE, TB, IEC medical , Medical Products Supply Cente, Dermatology center,University , Blood safty, Lao Red cross)</t>
  </si>
  <si>
    <t>Perdiem with overnight for staffs of  MCH , CLE, TB, IEC medical , Medical Products Supply Cente, Dermatology center,University , Blood safty, Lao Red cross)</t>
  </si>
  <si>
    <t>Perdiem with out overnight for  staffs of  MCH , CLE, TB, IEC medical , Medical Products Supply Cente, Dermatology center,University , Blood safty, Lao Red cross)</t>
  </si>
  <si>
    <t>Perdiem with overnight for 9 Center driver</t>
  </si>
  <si>
    <t xml:space="preserve">Perdiem with out overnight for9 Center driver
</t>
  </si>
  <si>
    <t>Perdiem with overnight for 6 Central  hospital + 3 ARV (settha,MHS,FS)</t>
  </si>
  <si>
    <t>Perdiem with out overnight for   6 Central  hospital+ 3 ARV (settha,MHS,FS)</t>
  </si>
  <si>
    <t>Perdiem with overnight for  Head of  VPC</t>
  </si>
  <si>
    <t>Perdiem with out overnight for  Head of  VPC</t>
  </si>
  <si>
    <t>Perdiem with overnight for VT cap   (1PCCA,2MSM peer, 2SW Peer, 1APL+)</t>
  </si>
  <si>
    <t>Perdiem with out overnight for  VT cap  (1PCCA,1MSM peer, 1SW Peer, 1APL+)</t>
  </si>
  <si>
    <t>Perdiem with overnight for 4 Provinces( Head of PCCA: PSL,LNT,BK,ATP)</t>
  </si>
  <si>
    <t>Perdiem with out overnight for  4 Provinces( Head of PCCA: PSL,LNT,BK,ATP)</t>
  </si>
  <si>
    <t>Perdiem with overnight for 4 Provinces( PCCA and driver : PSL,2LNT,2BK,ATP)</t>
  </si>
  <si>
    <t>Perdiem with out overnight for  4 Provinces( PCCA and drivers : PSL,LNT,BK,ATP)</t>
  </si>
  <si>
    <t>Perdiem with overnight for 2 Provinces( Head of PCCA: HP,XK)</t>
  </si>
  <si>
    <t>Perdiem with out overnight for  2 Provinces( Head of PCCA: HP,XK)</t>
  </si>
  <si>
    <t>Perdiem with overnight for 2 Provinces( PCCA and drivers : HP,XK )</t>
  </si>
  <si>
    <t>Perdiem with out overnight for  2 Provinces( PCCA and drivers:  HP,XK)</t>
  </si>
  <si>
    <t>Perdiem with overnight for 10 Provinces( Head of PCCA:ODX,LPB,SBL,XK,XSB,BKX,KM,SVK,CPS,SLV)</t>
  </si>
  <si>
    <t>Perdiem with out overnight for  10 Provinces( Head of PCCA:ODX,2LPB,SBL,XK,XSB,BKX,2KM,2SVK,2CPS,SLV  )</t>
  </si>
  <si>
    <t>Perdiem with overnight for 10 Provinces(PCCA and drivers : PCCA:ODX,2LPB,SBL,XK,XSB,BKX,2KM,2SVK,2CPS,SLV)</t>
  </si>
  <si>
    <t>Perdiem with out overnight for  10 Provinces( PCCA and Driver : ODX,LPB,SBL,XK,XSB,BKX,KM,SVK,CPS,SLV )</t>
  </si>
  <si>
    <t>Travel cost for CHAS  to Thalad</t>
  </si>
  <si>
    <t>Travel cost for CDC, MCH , CLE, TB, IEC medical , Medical Products Supply Cente, Dermatology center,University , Blood safty, Lao Red cross to Thalad</t>
  </si>
  <si>
    <t>Gasoline for CDC, MCH , CLE, TB, IEC medical , Medical Products Supply Cente, Dermatology center,University , Blood in rural area</t>
  </si>
  <si>
    <t>Travel cost for VT Cap to Thalad</t>
  </si>
  <si>
    <t>Gasoline for VT Cap  in rural area</t>
  </si>
  <si>
    <t>Gasoline for  psl to Thalad</t>
  </si>
  <si>
    <t>Gasoline for   BK to Thalad</t>
  </si>
  <si>
    <t>Gasoline for  LNTto Thalad</t>
  </si>
  <si>
    <t>Gasoline for   ODX to Thalad</t>
  </si>
  <si>
    <t>Gasoline for  LPB to Thalad</t>
  </si>
  <si>
    <t>Gasoline for  SBLto Thalad</t>
  </si>
  <si>
    <t>Gasoline for  XK to Thalad</t>
  </si>
  <si>
    <t>Gasoline for  HP to Thalad</t>
  </si>
  <si>
    <t>Gasoline for  VT pro to Thalad</t>
  </si>
  <si>
    <t>Gasoline for  XSB to Thalad</t>
  </si>
  <si>
    <t>Gasoline for  BKX to Thalad</t>
  </si>
  <si>
    <t>Gasoline for  KM to Thalad</t>
  </si>
  <si>
    <t>Gasoline for  SVK  to Thalad</t>
  </si>
  <si>
    <t>Gasoline for  CPS to Thalad</t>
  </si>
  <si>
    <t>Gasoline for  SLV to Thalad</t>
  </si>
  <si>
    <t>Gasoline for  Sk to Thalad</t>
  </si>
  <si>
    <t>Gasoline for  ATP to Thalad</t>
  </si>
  <si>
    <t>Gasoline for 18 Province  in rural area</t>
  </si>
  <si>
    <t>Rental Bus for Line Ministry</t>
  </si>
  <si>
    <t>VIII</t>
  </si>
  <si>
    <t>Meeting to cerify  the strategy and work plan 2021-2020 at Donchan Hotel, 1day</t>
  </si>
  <si>
    <t>01  Priminister of MOH</t>
  </si>
  <si>
    <t>01  CDC department</t>
  </si>
  <si>
    <t>priminister of MOH</t>
  </si>
  <si>
    <t>18  participant are from CHAS.</t>
  </si>
  <si>
    <t>12  participant are from Line ministries</t>
  </si>
  <si>
    <t>09   participant are from Center</t>
  </si>
  <si>
    <t xml:space="preserve">Perdiem with overnight for 12department of MOH </t>
  </si>
  <si>
    <t>09 participants are from Central hospital         and SW,MSM,ALP+</t>
  </si>
  <si>
    <t xml:space="preserve">Perdiem with overnight for  12 line ministry  </t>
  </si>
  <si>
    <t>59 participant are from Provinces</t>
  </si>
  <si>
    <t>Perdiem with overnight for  Head of  MCH , CLE, TB, IEC medical , Medical Products Supply Cente, Dermatology center,University , Blood safty, Lao Red cross)</t>
  </si>
  <si>
    <t>Total: 11​9 participants</t>
  </si>
  <si>
    <t>Perdiem with overnight for Head of PCCA VP cap and PCCA</t>
  </si>
  <si>
    <t>Perdiem with overnight for Central hospital  and SW,MSM,PlHIV</t>
  </si>
  <si>
    <t>Perdiem with overnight for 10 Provinces( Head of PCCA:ODX,LPB,SBL, XK,XSB,BKX,KM,SVK,CPS,SLV,VP)</t>
  </si>
  <si>
    <t>Perdiem with out overnight for  10 Provinces( Head of PCCA:ODX,2LPB, SBL,XK,XSB,BKX,2KM,2SVK,2CPS,SLV,VP  )</t>
  </si>
  <si>
    <t>Perdiem with overnight for 10 Provinces(PCCA and drivers : PCCA:ODX ,2LPB,SBL,XK,XSB,BKX,2KM,2SVK,2CPS,SLV,VP)</t>
  </si>
  <si>
    <t>Perdiem with out overnight for  10 Provinces( PCCA and Driver : ODX, LPB,SBL,XK,XSB,BKX,KM,SVK,CPS,SLV,VP )</t>
  </si>
  <si>
    <t>Gasoline for   psl to Thalad</t>
  </si>
  <si>
    <t>Gasoline for  LNT  to Thalad</t>
  </si>
  <si>
    <t>Gasoline for  ODX to Thalad</t>
  </si>
  <si>
    <t>Gasoline for  LPB  to Thalad</t>
  </si>
  <si>
    <t>Gasoline for  SBL  to Thalad</t>
  </si>
  <si>
    <t>Gasoline for  XK  to Thalad</t>
  </si>
  <si>
    <t>Gasoline for  HP  to Thalad</t>
  </si>
  <si>
    <t>Gasoline for CPS to Thalad</t>
  </si>
  <si>
    <t>Gasoline for SLV to Thalad</t>
  </si>
  <si>
    <t>Gasoline for Sk to Thalad</t>
  </si>
  <si>
    <t>Gasoline for ATP to Thalad</t>
  </si>
  <si>
    <t>Gasoline for 17 Province  in rural area</t>
  </si>
  <si>
    <t>Meeting room ( Package 350000 per Person)</t>
  </si>
  <si>
    <t>IX</t>
  </si>
  <si>
    <t xml:space="preserve">Editing and translate to English </t>
  </si>
  <si>
    <t xml:space="preserve"> translate Lao to English</t>
  </si>
  <si>
    <t>X</t>
  </si>
  <si>
    <t xml:space="preserve">Printing </t>
  </si>
  <si>
    <t>XI</t>
  </si>
  <si>
    <t>Disemination on HIV Strategy and workPlan   2021 - 2030  for NCCA and Focal point  at Donchan Hotel, 1day</t>
  </si>
  <si>
    <t>01 participant are from CDC department</t>
  </si>
  <si>
    <t>17  participants are from CHAS.</t>
  </si>
  <si>
    <t>27 participants are NCCA and Focal point</t>
  </si>
  <si>
    <t>Perdiem with overnight for CHAS 15 ( Dep and  Staffs)</t>
  </si>
  <si>
    <t>Perdiem with overnight NCCA</t>
  </si>
  <si>
    <t>Perdiem with overnight Focal point</t>
  </si>
  <si>
    <t>Disemination on HIV Strategy and work Plan   2021 - 2030  for Partners( Department,Center, NGO ,CSO , International organization)  at Donchan Hotel, 1day</t>
  </si>
  <si>
    <t>01 Priminister of MOH</t>
  </si>
  <si>
    <t>01 Director/Deput of CDC department</t>
  </si>
  <si>
    <t xml:space="preserve">Perdiem with overnight for  Director /Dep of CDC </t>
  </si>
  <si>
    <t>18 participant are from CHAS</t>
  </si>
  <si>
    <t>Perdiem with overnight for CHAS 18 ( Dep and  Staffs)</t>
  </si>
  <si>
    <t>11 Department in MOH</t>
  </si>
  <si>
    <t xml:space="preserve">Perdiem with overnight for Head or teachnical staffs : 11 Department in the Ministry of Health </t>
  </si>
  <si>
    <t>06 participant are from 6 Central hospital</t>
  </si>
  <si>
    <t>Perdiem with overnight for Director of  6 Central hospital</t>
  </si>
  <si>
    <t xml:space="preserve">06 participant are from CSO, NGO </t>
  </si>
  <si>
    <t xml:space="preserve">Perdiem with overnight for Manager CSO, NGO </t>
  </si>
  <si>
    <t>12 participant are from Center and University</t>
  </si>
  <si>
    <t>Perdiem with overnight  for Director of Center and University</t>
  </si>
  <si>
    <t>Total: 64 participants</t>
  </si>
  <si>
    <t>Perdiem with overnight  for International</t>
  </si>
  <si>
    <t>XII</t>
  </si>
  <si>
    <t xml:space="preserve"> Dissemination strategy and work Plan 2021-2030 for PCCA and Focal point at Provincial level</t>
  </si>
  <si>
    <t>dissemination strategy and work Plan workshop at ODX-PSL, 1day</t>
  </si>
  <si>
    <t>04 participant are from CHAS</t>
  </si>
  <si>
    <t>Perdiem with overnight for  Direct/Deput</t>
  </si>
  <si>
    <t>46 participant are from each Province (ODX and PSL)</t>
  </si>
  <si>
    <t>Perdiem with out overnight for Direct/Deput</t>
  </si>
  <si>
    <t>Total : 50 participants each Province</t>
  </si>
  <si>
    <t>Perdiem with overnight for CHAS  staffs</t>
  </si>
  <si>
    <t>Perdiem with out overnight for CHAS staffs</t>
  </si>
  <si>
    <t xml:space="preserve">Perdiem with overnight for ODX driver </t>
  </si>
  <si>
    <t>Perdiem with out overnight for ODX driver</t>
  </si>
  <si>
    <t xml:space="preserve">Perdiem with overnight for PSL driver </t>
  </si>
  <si>
    <t>Perdiem with out overnight for PSL driver</t>
  </si>
  <si>
    <t xml:space="preserve">Perdiem with out overnight for 3PCCA, </t>
  </si>
  <si>
    <t>Perdiem with out overnight for , 1Youth, 1Women, 1TB, 1MOCH, 1Planning Unit,1 Finance Unit ,1CLE,)</t>
  </si>
  <si>
    <t xml:space="preserve">Perdiem with out overnight for PCCA ( PCCA and Focal Point 36) </t>
  </si>
  <si>
    <t>Travel cost by plan from VTC to ODX province</t>
  </si>
  <si>
    <t>Travel cost per person per time for VT Cap</t>
  </si>
  <si>
    <t>Travel cost for  CHAS  from   ODX to PSL by Car (distance=  232 Km)</t>
  </si>
  <si>
    <t>Travel cost for  CHAS  from  PSL  to ODX by Car (distance=  232 Km)</t>
  </si>
  <si>
    <t>Dissemination strategy and work Plan workshop at  BK, LNT</t>
  </si>
  <si>
    <t>Perdiem with overnight for Direct/Deput</t>
  </si>
  <si>
    <t>46 participant are from each Province (BK and LNT)</t>
  </si>
  <si>
    <t>Perdiem with out overnight forDirect/Deput</t>
  </si>
  <si>
    <t xml:space="preserve">Perdiem with overnight for BK driver </t>
  </si>
  <si>
    <t>Perdiem with out overnight for BK driver</t>
  </si>
  <si>
    <t xml:space="preserve">Perdiem with overnight for LNT driver </t>
  </si>
  <si>
    <t>Perdiem with out overnight for LNT driver</t>
  </si>
  <si>
    <t xml:space="preserve">Perdiem with overnight for 3PCCA, </t>
  </si>
  <si>
    <t>Perdiem with overnight for , 1Youth, 1Women, 1TB, 1MOCH, 1Planning Unit,1 Finance Unit ,1CLE,)</t>
  </si>
  <si>
    <t xml:space="preserve">Perdiem with overnight for PCCA ( PCCA and Focal Point 36) </t>
  </si>
  <si>
    <t>Travel cost by plan from VTC to BK  province</t>
  </si>
  <si>
    <t>Travel cost for  CHAS  from   BK to LNT by Car (distance=  195Km)</t>
  </si>
  <si>
    <t>Travel cost for  CHAS  fromLNT  to BK by Car (distance=  195 Km)</t>
  </si>
  <si>
    <t>Dissemination strategy and work Plan workshop at  ATP, XK</t>
  </si>
  <si>
    <t>46 participant are from each Province (ATP and XK)</t>
  </si>
  <si>
    <t>Perdiem with overnight for CHAS to ATP, XK</t>
  </si>
  <si>
    <t>Perdiem with out overnight for CHAS to ATP, XK</t>
  </si>
  <si>
    <t xml:space="preserve">Perdiem with overnight for CHAS driver </t>
  </si>
  <si>
    <t>Perdiem with out overnight for CHAS driver</t>
  </si>
  <si>
    <t>Perdiem with overnight for , 1Youth, 1Women,, 1TB, 1MOCH, 1Planning Unit,1 Finance Unit ,1CLE,)</t>
  </si>
  <si>
    <t>Travel cost for using  in local(CHAS)</t>
  </si>
  <si>
    <t>Travel cost for  CHAS to  ATP  by Car (distance=887 Km)</t>
  </si>
  <si>
    <t>Travel cost for  CHAS from   ATP - XK  by Car (distance= 78 Km)</t>
  </si>
  <si>
    <t>Travel cost for CHAS from  XK- VT cap  by Car (distance= 814 Km)</t>
  </si>
  <si>
    <t>Dissemination strategy and work Plan workshop at  XK, HP</t>
  </si>
  <si>
    <t>46 participant are from each Province (XK and HP)</t>
  </si>
  <si>
    <t xml:space="preserve">Perdiem with overnight for XK driver </t>
  </si>
  <si>
    <t>Perdiem with out overnight for XK driver</t>
  </si>
  <si>
    <t xml:space="preserve">Perdiem with overnight for HP driver </t>
  </si>
  <si>
    <t>Perdiem with out overnight for HP driver</t>
  </si>
  <si>
    <t>Travel cost by plan from VTC to XK  province</t>
  </si>
  <si>
    <r>
      <t>Travel cost for  CHAS  from   XK to HP by Car (distance= 250k</t>
    </r>
    <r>
      <rPr>
        <sz val="9"/>
        <color rgb="FFFF0000"/>
        <rFont val="Calibri"/>
        <family val="2"/>
        <scheme val="minor"/>
      </rPr>
      <t>m</t>
    </r>
    <r>
      <rPr>
        <sz val="9"/>
        <color theme="1"/>
        <rFont val="Calibri"/>
        <family val="2"/>
        <scheme val="minor"/>
      </rPr>
      <t>)</t>
    </r>
  </si>
  <si>
    <r>
      <t xml:space="preserve">Travel cost for  CHAS  from HP to XK  by Car (distance= 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250 Km</t>
    </r>
    <r>
      <rPr>
        <sz val="9"/>
        <color theme="1"/>
        <rFont val="Calibri"/>
        <family val="2"/>
        <scheme val="minor"/>
      </rPr>
      <t>)</t>
    </r>
  </si>
  <si>
    <t>Dissemination strategy and work Plan workshop at  LPB-XYL</t>
  </si>
  <si>
    <t>46 participant are from each Province (LPB and XYL)</t>
  </si>
  <si>
    <t xml:space="preserve">Perdiem with overnight for LPB driver </t>
  </si>
  <si>
    <t>Perdiem with out overnight for LPB driver</t>
  </si>
  <si>
    <t xml:space="preserve">Perdiem with overnight for XYL driver </t>
  </si>
  <si>
    <t>Perdiem with out overnight for XYL driver</t>
  </si>
  <si>
    <t>Travel cost by plan from VTC to LPB  province</t>
  </si>
  <si>
    <t>Travel cost for  CHAS  from   LPB-SYLby Car (distance=  117Km)</t>
  </si>
  <si>
    <t>Travel cost for  CHAS  from SYL to LPB  by Car (distance= 117 Km)</t>
  </si>
  <si>
    <t>Dissemination strategy and work Plan workshop at  VT Cap at Lao Women Union, 1day</t>
  </si>
  <si>
    <t>46 participant are from VT provincial,Youth,Women, TB,MOCH,Planning unit, Finance unit,CLE)</t>
  </si>
  <si>
    <t>Total : 50 participants</t>
  </si>
  <si>
    <t xml:space="preserve">Perdiem with overnight for CHAS </t>
  </si>
  <si>
    <t>Perdiem with overnight for , 1Youth, 1Women,1TB, 1MOCH, 1Planning Unit,1 Finance Unit ,1CLE,)</t>
  </si>
  <si>
    <t>Perdiem with overnight for  NCCA and Focal Point 36</t>
  </si>
  <si>
    <t>Travel cost for using  in local ( CHAS)</t>
  </si>
  <si>
    <t>Dissemination strategy and work Plan workshop at  VT Province,1days</t>
  </si>
  <si>
    <t>46 participant are fromVT Province</t>
  </si>
  <si>
    <t>Perdiem with overnight for CHAS teachnicals</t>
  </si>
  <si>
    <t>Perdiem with out overnight for CHAS teachnicals</t>
  </si>
  <si>
    <t>Travel cost for  CHAS from VT cap-VT Province-VT cap  by Car (distance= 86 Km)</t>
  </si>
  <si>
    <t>Dissemination strategy and work Plan workshop at  XSB, BKS</t>
  </si>
  <si>
    <t>46 participant are from each Province (XSB and BKX)</t>
  </si>
  <si>
    <t xml:space="preserve">Perdiem with overnight for CHAS toODX,PSL </t>
  </si>
  <si>
    <t xml:space="preserve">Perdiem with out overnight for CHAStoODX,PSL </t>
  </si>
  <si>
    <t>Travel cost for using  in local( CHAS)</t>
  </si>
  <si>
    <t>Travel cost for CHAS to XSB Province by Car (distance=  255 Km)</t>
  </si>
  <si>
    <t>Travel cost for  CHAS from XSB-BKX  by Car (distance= 405  Km)</t>
  </si>
  <si>
    <t>Travel cost for  CHAS from BKX-VT cap  by Car (distance= 150 Km)</t>
  </si>
  <si>
    <t xml:space="preserve">Dissemination strategy and work Plan workshop at  KM, SVK  </t>
  </si>
  <si>
    <t>46 participant are from each Province (KM and SVK)</t>
  </si>
  <si>
    <t>Travel cost for using in local( CHAS)</t>
  </si>
  <si>
    <t>Travel cost for CHAS to KM Province by Car (distance= 353 Km)</t>
  </si>
  <si>
    <t>Travel cost for  CHAS fromKM-SVK  by Car (distance= 116 Km)</t>
  </si>
  <si>
    <t>Travel cost for  CHAS from SVK-VT cap  by Car (distance= 469 Km)</t>
  </si>
  <si>
    <t>Room rental( day 1)</t>
  </si>
  <si>
    <t xml:space="preserve">Dissemination strategy and work  Plan workshop at  CPS, SLV  </t>
  </si>
  <si>
    <t>46 participant are from each Province ( CPS and SLV)</t>
  </si>
  <si>
    <t>Travel cost for CHAS to CPS Province by Car (distance= 675 Km)</t>
  </si>
  <si>
    <t>Travel cost for  CHAS from CPS -SLV  by Car (distance= 144 Km)</t>
  </si>
  <si>
    <t>Travel cost for  CHAS from SLV-VT cap  by Car (distance= 683 Km)</t>
  </si>
  <si>
    <t>Monitoring and Supervision  data management in DHIS2</t>
  </si>
  <si>
    <t>LPB and XY province</t>
  </si>
  <si>
    <t>Perdiem with overnight for  CHAS   ( Dep 1,M&amp;E 2, driver 1 )</t>
  </si>
  <si>
    <t>Perdiem with overnight for  DPI ( IT )</t>
  </si>
  <si>
    <t xml:space="preserve">  4  participants are from CHAS                                participants are from DPI                               5  participants are from  LPB, XY, HP, LNT and BK</t>
  </si>
  <si>
    <t>Perdiem with out overnight for CHAS and DPI ( IT )</t>
  </si>
  <si>
    <t>Perdiem with overnight for PCCA LPB</t>
  </si>
  <si>
    <t>Perdiem with overnight for PCCA  XY</t>
  </si>
  <si>
    <t>Perdiem with out overnight for PCCA LPB and XY</t>
  </si>
  <si>
    <t>Gasolinet  for VTC and LPB  province</t>
  </si>
  <si>
    <t xml:space="preserve">Gasolinet for LPB province  -  Nambak  district </t>
  </si>
  <si>
    <t>Gasolinet for in local</t>
  </si>
  <si>
    <t>Gasolinet  for LPB  and XY  province</t>
  </si>
  <si>
    <t xml:space="preserve">Gasolinet  for XY province  - Xianghon district  </t>
  </si>
  <si>
    <t>Gasolinet for  XY and VTC</t>
  </si>
  <si>
    <t>HP province</t>
  </si>
  <si>
    <t>Perdiem with out overnight for CHAS andDPI ( IT )</t>
  </si>
  <si>
    <t>Perdiem with overnight for PCCA HP</t>
  </si>
  <si>
    <t>Perdiem with out overnight for PCCA HP</t>
  </si>
  <si>
    <t>Gasolinet  for VTC and HP  province</t>
  </si>
  <si>
    <t>Gasolinet for HP province  -  Sopbao  distric</t>
  </si>
  <si>
    <t>Gasolinet for HP province  -   Edd district</t>
  </si>
  <si>
    <t>Gasolinet for HP province  -   Viangxai district</t>
  </si>
  <si>
    <t>LNT and BK province</t>
  </si>
  <si>
    <t>Perdiem with overnight for  CHAS   ( Director CHAS0</t>
  </si>
  <si>
    <t>Perdiem with overnight for  CHAS   ( M&amp;E 2, driver 1 )</t>
  </si>
  <si>
    <t>Perdiem with overnight for PCCA  LNT</t>
  </si>
  <si>
    <t>Perdiem with overnight for PCCA  BK</t>
  </si>
  <si>
    <t>Perdiem with out overnight for PCCA  LNT and BK</t>
  </si>
  <si>
    <t>Gasolinet  for VTC and LNT province</t>
  </si>
  <si>
    <t>Gasolinet for LNT province  -  Sing district</t>
  </si>
  <si>
    <t>Gasolinet  for LNT and  BK  province</t>
  </si>
  <si>
    <t xml:space="preserve">Gasolinet  for Bk province  - </t>
  </si>
  <si>
    <t>Gasolinet for BK and VTC</t>
  </si>
  <si>
    <t xml:space="preserve">Total </t>
  </si>
  <si>
    <t xml:space="preserve">Workshop  on M&amp;E for HIV/AIDS/STI </t>
  </si>
  <si>
    <t xml:space="preserve">Perdiem with overnight for   Director  CHAS </t>
  </si>
  <si>
    <t xml:space="preserve">  15  participants are from CHAS      
 3    participants are from MHS,STH,FS
2   participants are from 103, 5 maysa, MCH
4  participants are from HP, LPB, BK, LNT,SVK,CPS
3  participants are from Xk, PSL, ODX,XY,VTP, VTC,BKX,KM,SRV,SK,ATP,XSB
</t>
  </si>
  <si>
    <t>Perdiem with overnight for    CHAS</t>
  </si>
  <si>
    <t xml:space="preserve">Perdiem with out overnight for    CHAS </t>
  </si>
  <si>
    <t>Perdiem with overnight for   MHS,STL,FS,103, 5 maysa, MCH</t>
  </si>
  <si>
    <t>Perdiem with out overnight for  MHS,STL,FS,103, 5 maysa, MCH</t>
  </si>
  <si>
    <t>Perdiem with overnight for    HP, Xk, PSL, BK, LNT,ODX,LPB,XY,VTP,VTC,BKX,KM,SVK,XSB</t>
  </si>
  <si>
    <t>Perdiem with out overnight for   HP, Xk, PSL, BK, LNT,ODX,LPB,XY,VTP,VTC,BKX,KM,SVK,XSB</t>
  </si>
  <si>
    <t>Perdiem with overnight for    CPS,SRV,SK,ATP</t>
  </si>
  <si>
    <t>Perdiem with out overnight for    CPS,SRV,SK,ATP</t>
  </si>
  <si>
    <t>Perdiem with overnight for  Tonpheung BK</t>
  </si>
  <si>
    <t>Perdiem with out overnight for  Tonpheung BK</t>
  </si>
  <si>
    <t xml:space="preserve">Travel cost for CHAS </t>
  </si>
  <si>
    <t>Travel cost for  MHS,STL,FS,103, 5 maysa, MCH</t>
  </si>
  <si>
    <t>Travel cost for  PSL</t>
  </si>
  <si>
    <t>Travel cost for  HP</t>
  </si>
  <si>
    <t>Travel cost for  XK</t>
  </si>
  <si>
    <t>Travel cost for  LPB</t>
  </si>
  <si>
    <t>Travel cost for BK</t>
  </si>
  <si>
    <t>Travel cost for Tonphueng BK</t>
  </si>
  <si>
    <t>Travel cost for  LNT</t>
  </si>
  <si>
    <t>Travel cost for  ODX</t>
  </si>
  <si>
    <t>Travel cost for  XY</t>
  </si>
  <si>
    <t>Travel cost for  VTP</t>
  </si>
  <si>
    <t>Travel cost for  VTC</t>
  </si>
  <si>
    <t>Travel cost for  BKX</t>
  </si>
  <si>
    <t>Travel cost for KM</t>
  </si>
  <si>
    <t>Travel cost for SVK</t>
  </si>
  <si>
    <t>Travel cost for CPS</t>
  </si>
  <si>
    <t>Travel cost for SRV</t>
  </si>
  <si>
    <t>Travel cost for SK</t>
  </si>
  <si>
    <t>Travel cost for ATP</t>
  </si>
  <si>
    <t>Travel cost for  XSB</t>
  </si>
  <si>
    <t>Gesoline for Local travel (3CHAS, MHS,STL,FS,103, 5 maysa, MCH, HP, Xk, PSL, BK, LNT,ODX,LPB,XY,VTP,VTC,BKX,KM ,SVK,CPS,SRV,SK, ATP, XSB)</t>
  </si>
  <si>
    <t>Materiels and copy</t>
  </si>
  <si>
    <t>preparation of document</t>
  </si>
  <si>
    <t>2 times /Year</t>
  </si>
  <si>
    <t>Total</t>
  </si>
  <si>
    <t>Basic of IBBS survey for 18 provinces</t>
  </si>
  <si>
    <t xml:space="preserve">  8  participants are from CHAS      
2   participants are from  MHS,STH,FS,103, 5 maysa, MCH,HP, LPB, BK, LNT, Xk, PSL, ODX,XY,VTP, VTC,BKX,KM,SVK,CPS,SRV,SK,ATP,XSB
</t>
  </si>
  <si>
    <t>Total all:</t>
  </si>
  <si>
    <t>ComdomProgram</t>
  </si>
  <si>
    <t>Condom supplies</t>
  </si>
  <si>
    <t>Total :</t>
  </si>
  <si>
    <t>HIV testing and Counseling</t>
  </si>
  <si>
    <t xml:space="preserve">Training on ARV/OI Treatment </t>
  </si>
  <si>
    <t>perdiem with overnight for Director of CHAS</t>
  </si>
  <si>
    <t>perdiem with out for Director of CHAS</t>
  </si>
  <si>
    <t>perdiem with overnight for Deputy director  of CHAS</t>
  </si>
  <si>
    <t>perdiem with out for Deputy director of CHAS</t>
  </si>
  <si>
    <t>perdiem with overnight for technical staff of CHAS</t>
  </si>
  <si>
    <t>perdiem with out for  technical  staff of CHAS</t>
  </si>
  <si>
    <t>perdiem with overnight for CHAS driver</t>
  </si>
  <si>
    <t>perdiem with out for CHAS driver</t>
  </si>
  <si>
    <t>perdiem with overnight for Setthathirat,  Friendship,Mahosot Hospital</t>
  </si>
  <si>
    <t>perdiem with out  overnight for Setthathirat,  Friendship,Mahosot Hospital</t>
  </si>
  <si>
    <t xml:space="preserve">Perdiem with overnight for T.P </t>
  </si>
  <si>
    <t>Perdiem with out overnight for T.P</t>
  </si>
  <si>
    <t xml:space="preserve">VIP Bus  for KM province  </t>
  </si>
  <si>
    <t xml:space="preserve">VIP Bus  for SVK province </t>
  </si>
  <si>
    <t>VIP Bus for  CPS province</t>
  </si>
  <si>
    <t xml:space="preserve"> VIP Bus for LPB province </t>
  </si>
  <si>
    <t xml:space="preserve">  VIP Bus for LNT province </t>
  </si>
  <si>
    <t xml:space="preserve">VIP Bus for HP province  </t>
  </si>
  <si>
    <t xml:space="preserve">VIP Bus for BK province   </t>
  </si>
  <si>
    <t xml:space="preserve">VIP Bus/tooktook for T.P district  to Huaysay </t>
  </si>
  <si>
    <t>Travel cost forCHAS using in local</t>
  </si>
  <si>
    <t>Meeting room</t>
  </si>
  <si>
    <t>Preparitn document</t>
  </si>
  <si>
    <t>Trainer fee</t>
  </si>
  <si>
    <t xml:space="preserve">Training on VCT Counseling </t>
  </si>
  <si>
    <t>Opening remark</t>
  </si>
  <si>
    <t>perdiem with overnight for 6 Central hospitall</t>
  </si>
  <si>
    <t>Perdiem with overnight for XK,XBL,VT,BKX,SLV,XK Provinces</t>
  </si>
  <si>
    <t>Perdiem with out overnight for  XK,XBL,VT,BKX,SLV,XK Provinces</t>
  </si>
  <si>
    <t>Perdiem with overnight for ODX province</t>
  </si>
  <si>
    <t>Perdiem with out overnight forODX province</t>
  </si>
  <si>
    <t xml:space="preserve">VIP Bus  for VT  province  </t>
  </si>
  <si>
    <t xml:space="preserve">VIP Bus  for BKX province </t>
  </si>
  <si>
    <t>VIP Bus for  XK province</t>
  </si>
  <si>
    <t xml:space="preserve"> VIP Bus for XBL province </t>
  </si>
  <si>
    <t xml:space="preserve">  VIP Bus for ODX province </t>
  </si>
  <si>
    <t xml:space="preserve">VIP Bus for SLV province  </t>
  </si>
  <si>
    <t xml:space="preserve">VIP Bus for XK province   </t>
  </si>
  <si>
    <t xml:space="preserve">Travel cost for CHAS using in Local  </t>
  </si>
  <si>
    <t>ARV  and OI management</t>
  </si>
  <si>
    <t>procurement for  ARV drugs</t>
  </si>
  <si>
    <t>procurement for OI drugs</t>
  </si>
  <si>
    <t xml:space="preserve">I. </t>
  </si>
  <si>
    <t>Project Development  the strategy and work plan 2021-2030</t>
  </si>
  <si>
    <t>Development  the strategy and work plan 2021-2030 PSL</t>
  </si>
  <si>
    <t>Perdiem with overnight for CHAS (Director/ Dep) to PSL</t>
  </si>
  <si>
    <t xml:space="preserve">Perdiem with overnight for  driver of  CHAS  </t>
  </si>
  <si>
    <t xml:space="preserve">Perdiem with out overnight for driver of  CHAS  </t>
  </si>
  <si>
    <t xml:space="preserve">Perdiem with overnight for DCCA  Director and DCCA ( 4districts ) </t>
  </si>
  <si>
    <t xml:space="preserve">Perdiem with out overnight for DCCA  Director and DCCA  ( 4districts ) </t>
  </si>
  <si>
    <t xml:space="preserve">Perdiem with out overnight for Head of Department   </t>
  </si>
  <si>
    <t>Perdiem with out overnight for team technical staff of Health Department</t>
  </si>
  <si>
    <t>Perdiem with out overnight for PCCA and focal point Province Level</t>
  </si>
  <si>
    <t>Travel cost by  Car from VTC to PSL  province</t>
  </si>
  <si>
    <t>Gasoline for using in rural area of CHAS</t>
  </si>
  <si>
    <t xml:space="preserve">Travel cost by Car for DCCA </t>
  </si>
  <si>
    <t>Gasoline for using in rural area of DCCA</t>
  </si>
  <si>
    <t>Gasoline for using in rural area of PCCA</t>
  </si>
  <si>
    <t>Development  the strategy and work plan 2021-2030  LNT</t>
  </si>
  <si>
    <t>Perdiem with overnight for CHAS (Director/ Dep) to LNT</t>
  </si>
  <si>
    <t>Travel cost by  Plane  from VTC to LNT  province</t>
  </si>
  <si>
    <t>Development  the strategy and work plan 2021-2030  ODX</t>
  </si>
  <si>
    <t>Development  the strategy and work plan 2021-2030  BK</t>
  </si>
  <si>
    <t>Perdiem with overnight for CHAS (Director/ Dep) to BK</t>
  </si>
  <si>
    <t>Perdiem with out overnight for CHAS (Director/ Dep) to BK</t>
  </si>
  <si>
    <t>Travel cost by  Plane  from VTC to BK  province</t>
  </si>
  <si>
    <t>Development  the strategy and work plan 2021-2030  LPB</t>
  </si>
  <si>
    <t>Perdiem with overnight for CHAS (Director/ Dep) to LPB</t>
  </si>
  <si>
    <t>Perdiem with out overnight for CHAS (Director/ Dep) to LPB</t>
  </si>
  <si>
    <t>Travel cost by  Plane  from VTC to LPB  province</t>
  </si>
  <si>
    <t>Development  the strategy and work plan 2021-2030  VCP</t>
  </si>
  <si>
    <t xml:space="preserve">Perdiem with overnight for DCCA  Director and DCCA ( 2districts ) </t>
  </si>
  <si>
    <t xml:space="preserve">Perdiem with out overnight for DCCA  Director and DCCA  ( 2districts ) </t>
  </si>
  <si>
    <t>Development  the strategy and work plan 2021-2030 KM</t>
  </si>
  <si>
    <t>Perdiem with overnight for CHAS (Director/ Dep) to KM</t>
  </si>
  <si>
    <t>Perdiem with out overnight for CHAS (Director/ Dep) to KM</t>
  </si>
  <si>
    <t>Travel cost by  Car from VTC to KM  province</t>
  </si>
  <si>
    <t>Development  the strategy and work plan 2021-2030 SVK</t>
  </si>
  <si>
    <t>Perdiem with overnight for CHAS (Director/ Dep) to SVK</t>
  </si>
  <si>
    <t>Perdiem with out overnight for CHAS (Director/ Dep) to SVK</t>
  </si>
  <si>
    <t>Travel cost by  Car from VTC to SVK  province</t>
  </si>
  <si>
    <t>Development  the strategy and work plan 2021-2030 CPS</t>
  </si>
  <si>
    <t>Perdiem with overnight for CHAS (Director/ Dep) to CPS</t>
  </si>
  <si>
    <t>Perdiem with out overnight for CHAS (Director/ Dep) to CPS</t>
  </si>
  <si>
    <t>Travel cost by  Car from VTC to CPS  province</t>
  </si>
  <si>
    <t>Development  the strategy and work plan 2021-2030 ATP</t>
  </si>
  <si>
    <t>Perdiem with overnight for CHAS (Director/ Dep) to ATP</t>
  </si>
  <si>
    <t>Perdiem with out overnight for CHAS (Director/ Dep) to ATP</t>
  </si>
  <si>
    <t>Travel cost by  Car from VTC to ATP  province</t>
  </si>
  <si>
    <t>Development  the strategy and work plan 2021-2030  XBL</t>
  </si>
  <si>
    <t>Travel cost by  Car from VTC to  XBL province</t>
  </si>
  <si>
    <t>Development  the strategy and work plan 2021-2030  BLX</t>
  </si>
  <si>
    <t>Perdiem with overnight for CHAS (Director/ Dep) to BLX</t>
  </si>
  <si>
    <t>Perdiem with out overnight for CHAS (Director/ Dep) to BLX</t>
  </si>
  <si>
    <t>Travel cost by  Car from VTC to  BKX  province</t>
  </si>
  <si>
    <t>Development  the strategy and work plan 2021-2030  XK</t>
  </si>
  <si>
    <t>Travel cost by  Plane  from VTC to XK province</t>
  </si>
  <si>
    <t>Development  the strategy and work plan 2021-2030 HP</t>
  </si>
  <si>
    <t>Perdiem with overnight for CHAS (Director/ Dep) to HP</t>
  </si>
  <si>
    <t>Perdiem with out overnight for CHAS (Director/ Dep) to HP</t>
  </si>
  <si>
    <t>Perdiem with overnight for driver XK to HP sent to team  CHAS</t>
  </si>
  <si>
    <t>Perdiem with  out overnight for driver XK to HP sent to team  CHAS</t>
  </si>
  <si>
    <t>Perdiem with overnight for driver HP to XK sent to team  CHAS</t>
  </si>
  <si>
    <t>Perdiem with  out overnight for driver HP to XK sent to team  CHAS</t>
  </si>
  <si>
    <t>Travel cost by  Plan from VTC to XK province</t>
  </si>
  <si>
    <t>Travel cost by  Car  from XK to  HP province</t>
  </si>
  <si>
    <t>Travel cost by  Car  from HP  to  SK  province</t>
  </si>
  <si>
    <t>Total budget Project Development  the strategy and work plan 2021-2030 :</t>
  </si>
  <si>
    <t>IEC materials (new and existing )</t>
  </si>
  <si>
    <t>10participants are from CHAS.</t>
  </si>
  <si>
    <t xml:space="preserve"> 54participants are from provinces.</t>
  </si>
  <si>
    <t xml:space="preserve">Refresh TOT for IEC of HIV prevention  with PCCA for IEC at Vangvieng, 3days </t>
  </si>
  <si>
    <t>08participants are from CHAS.</t>
  </si>
  <si>
    <t xml:space="preserve"> 37participants are from provinces.</t>
  </si>
  <si>
    <t>Travel cost by Car for VTC -Vengvieng</t>
  </si>
  <si>
    <t>Travel cost by Car for VT Pro -Vengvieng</t>
  </si>
  <si>
    <t>Travel cost by Car for PSL- Vengvieng</t>
  </si>
  <si>
    <t>meeting on review IEC materials (Poster, Brochure…) at CHAS</t>
  </si>
  <si>
    <t>meeting on review leaflets for Education in Hospital at CHAS,2days</t>
  </si>
  <si>
    <t>meeting on review Flapchat for home base care at CHAS,2days</t>
  </si>
  <si>
    <t>Monitoring IEC distribution at ODX, LNT, BK Provinces</t>
  </si>
  <si>
    <t>07participants are from CHAS.</t>
  </si>
  <si>
    <t xml:space="preserve"> 38participants are from provinces.</t>
  </si>
  <si>
    <t>Printing STI Treatment Guideline</t>
  </si>
  <si>
    <t>Refrest ToT for Peer education in University</t>
  </si>
  <si>
    <t>Total Prevention Programme</t>
  </si>
  <si>
    <t>II.</t>
  </si>
  <si>
    <t>Condomprogramming</t>
  </si>
  <si>
    <t>III.</t>
  </si>
  <si>
    <t>STI  management</t>
  </si>
  <si>
    <t>STI and HIV testing Annaul meeting to discuss about lesson learn on testing using, Protogol,…at Thalath-Vientaine province (2days).</t>
  </si>
  <si>
    <t>Perdiem with overnight for CHAS team (Driver)</t>
  </si>
  <si>
    <t>Perdiem with out overnight for CHAS team (Driver)</t>
  </si>
  <si>
    <t>Perdiem with overnight for MOH (Care department; CDC; NCLE; MCH Center; NBTC; NDC; SET Hospital; MHS Hospital; Friendship Hospital; 103 Hospital; 5 Mesa Hospital &amp; MCH Hospital)</t>
  </si>
  <si>
    <t>Perdiem with out overnight for MOH (Care department; CDC; NCLE; MCH Center; NBTC; NDC; SET Hospital; MHS Hospital; Friendship Hospital; 103 Hospital; 5 Mesa Hospital &amp; MCH Hospital)</t>
  </si>
  <si>
    <t>Perdiem with overnight for MOH (Care department; CDC; NCLE; MCH Center; NBTC; NDC; SET Hospital; MHS Hospital; Friendship Hospital; 103 Hospital; 5 Mesa Hospital &amp; MCH Hospital) (Driver)</t>
  </si>
  <si>
    <t>38 participants are from MOH (Care department; CDC; NCLE; MCH Center; NBTC; NDC; SET Hospital; MHS Hospital; Friendship Hospital; 103 Hospital; 
5 Mesa Hospital &amp; MCH Hospital).</t>
  </si>
  <si>
    <t>Perdiem with out overnight for MOH (Care department; CDC; NCLE; MCH Center; NBTC; NDC; SET Hospital; MHS Hospital; Friendship Hospital; 103 Hospital; 5 Mesa Hospital &amp; MCH Hospital) (Driver)</t>
  </si>
  <si>
    <t>72 participants are from VTC &amp; Provinces.</t>
  </si>
  <si>
    <t>Perdiem with overnight for PCCA-VTC</t>
  </si>
  <si>
    <t>Total: 118 participants</t>
  </si>
  <si>
    <t>Perdiem with out overnight for PCCA-VTC</t>
  </si>
  <si>
    <t>Perdiem with overnight for PCCA-VTC (Driver)</t>
  </si>
  <si>
    <t>Perdiem with out overnight for PCCA-VTC (Driver)</t>
  </si>
  <si>
    <t>Perdiem with out overnight for BK province (Driver)</t>
  </si>
  <si>
    <t>Perdiem with overnight for PSL; LNT; HP &amp; ATP province</t>
  </si>
  <si>
    <t>Perdiem with out overnight for PSL; LNT; HP &amp; ATP province</t>
  </si>
  <si>
    <t>Perdiem with overnight for PSL; LNT; HP &amp; ATP province (Driver)</t>
  </si>
  <si>
    <t>Perdiem with out overnight for PSL; LNT; HP &amp; ATP province (Driver)</t>
  </si>
  <si>
    <t>Perdiem with overnight for CPS; SLV &amp; SK province</t>
  </si>
  <si>
    <t>Perdiem with out overnight for CPS; SLV &amp; SK province</t>
  </si>
  <si>
    <t>Perdiem with overnight for CPS; SLV &amp; SK province (Driver)</t>
  </si>
  <si>
    <t>Perdiem with out overnight for CPS; SLV &amp; SK province (Driver)</t>
  </si>
  <si>
    <t>Perdiem with overnight for ODX; LPB; SYL; XK; XSB; BKX; KM &amp; SVK province</t>
  </si>
  <si>
    <t>Perdiem with out overnight for ODX; LPB; SYL; XK; XSB; BKX; KM &amp; SVK province</t>
  </si>
  <si>
    <t>Perdiem with overnight for ODX; LPB; SYL; XK; XSB; BKX; KM &amp; SVK province (Driver)</t>
  </si>
  <si>
    <t>Perdiem with out overnight for ODX; LPB; SYL; XK; XSB; BKX; KM &amp; SVK province (Driver)</t>
  </si>
  <si>
    <t>Travel cost by Car for MOH (Care department; CDC; NCLE; MCH Center; NBTC; NDC; SET Hospital; MHS Hospital; Friendship Hospital; 103 Hospital; 5 Mesa Hospital &amp; MCH Hospital) (distance: 71+15= 86 Km)</t>
  </si>
  <si>
    <t>Travel cost by Car for VTC (distance: 71+15= 86 Km)</t>
  </si>
  <si>
    <t>Travel cost by Car for CHAS team (distance: 71+15= 86 Km)</t>
  </si>
  <si>
    <t>Travel cost for CHAS team in local</t>
  </si>
  <si>
    <t>ARV and OI manegerment</t>
  </si>
  <si>
    <t xml:space="preserve">Procurement for ARV drugs </t>
  </si>
  <si>
    <t>Procurement for OI drugs</t>
  </si>
  <si>
    <t>Total Procurement for OI drugs</t>
  </si>
  <si>
    <t>Total all :</t>
  </si>
  <si>
    <t xml:space="preserve">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</si>
</sst>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00000"/>
    <numFmt numFmtId="166" formatCode="_-* #,##0_-;\-* #,##0_-;_-* &quot;-&quot;??_-;_-@_-"/>
    <numFmt numFmtId="167" formatCode="_-* #,##0.0_-;\-* #,##0.0_-;_-* &quot;-&quot;??_-;_-@_-"/>
    <numFmt numFmtId="168" formatCode="&quot;$&quot;#,##0.00"/>
    <numFmt numFmtId="169" formatCode="_-* #,##0.00_-;\-* #,##0.00_-;_-* &quot;-&quot;??_-;_-@_-"/>
    <numFmt numFmtId="170" formatCode="_-&quot;£&quot;* #,##0.00_-;\-&quot;£&quot;* #,##0.00_-;_-&quot;£&quot;* &quot;-&quot;??_-;_-@_-"/>
    <numFmt numFmtId="171" formatCode="#,##0;[Red]#,##0"/>
  </numFmts>
  <fonts count="10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8"/>
      <color theme="1"/>
      <name val="Verdana"/>
      <family val="2"/>
    </font>
    <font>
      <sz val="12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Verdana"/>
      <family val="2"/>
    </font>
    <font>
      <sz val="9"/>
      <name val="Phetsarath OT"/>
    </font>
    <font>
      <sz val="9"/>
      <color theme="1"/>
      <name val="Phetsarath OT"/>
    </font>
    <font>
      <i/>
      <sz val="8"/>
      <name val="Calibri"/>
      <family val="2"/>
    </font>
    <font>
      <b/>
      <sz val="8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</font>
    <font>
      <b/>
      <sz val="9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B0F0"/>
      <name val="Calibri"/>
      <family val="2"/>
    </font>
    <font>
      <i/>
      <sz val="9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b/>
      <sz val="8"/>
      <name val="Verdana"/>
      <family val="2"/>
    </font>
    <font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0"/>
      <name val="Calibri"/>
      <family val="2"/>
    </font>
    <font>
      <b/>
      <sz val="9"/>
      <name val="Verdana"/>
      <family val="2"/>
    </font>
    <font>
      <b/>
      <sz val="14"/>
      <color theme="1"/>
      <name val="Verdana"/>
      <family val="2"/>
    </font>
    <font>
      <sz val="9"/>
      <color rgb="FFFF0000"/>
      <name val="Verdana"/>
      <family val="2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12"/>
      <name val="Verdana"/>
      <family val="2"/>
    </font>
    <font>
      <sz val="11"/>
      <name val="Calibri"/>
      <family val="2"/>
      <scheme val="minor"/>
    </font>
    <font>
      <sz val="8"/>
      <name val="Phetsarath OT"/>
    </font>
    <font>
      <b/>
      <sz val="8"/>
      <name val="Phetsarath OT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i/>
      <sz val="12"/>
      <name val="Calibri"/>
      <family val="2"/>
    </font>
    <font>
      <sz val="9"/>
      <color theme="1"/>
      <name val="Phetsarath OT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sz val="8"/>
      <color rgb="FFFF0000"/>
      <name val="Calibri"/>
      <family val="2"/>
    </font>
    <font>
      <sz val="12"/>
      <color rgb="FFFF0000"/>
      <name val="Calibri"/>
      <family val="2"/>
    </font>
    <font>
      <sz val="8"/>
      <color rgb="FFFF0000"/>
      <name val="Calibri"/>
      <family val="2"/>
    </font>
    <font>
      <i/>
      <sz val="8"/>
      <color rgb="FFFF0000"/>
      <name val="Calibri"/>
      <family val="2"/>
    </font>
    <font>
      <sz val="14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Saysettha OT"/>
      <family val="2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4"/>
      <name val="Calibri"/>
      <family val="2"/>
    </font>
    <font>
      <i/>
      <sz val="14"/>
      <name val="Calibri"/>
      <family val="2"/>
    </font>
    <font>
      <sz val="14"/>
      <color rgb="FF00B0F0"/>
      <name val="Calibri"/>
      <family val="2"/>
    </font>
    <font>
      <sz val="14"/>
      <color rgb="FFFF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FF0000"/>
      <name val="Calibri"/>
      <family val="2"/>
    </font>
    <font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 Light"/>
      <family val="1"/>
      <scheme val="major"/>
    </font>
    <font>
      <b/>
      <sz val="14"/>
      <color theme="1"/>
      <name val="Calibri Light"/>
      <family val="1"/>
      <scheme val="major"/>
    </font>
    <font>
      <sz val="12"/>
      <color theme="1"/>
      <name val="Calibri Light"/>
      <family val="1"/>
      <scheme val="major"/>
    </font>
  </fonts>
  <fills count="2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4" fontId="56" fillId="0" borderId="0" applyFont="0" applyFill="0" applyBorder="0" applyAlignment="0" applyProtection="0"/>
    <xf numFmtId="0" fontId="56" fillId="0" borderId="0"/>
    <xf numFmtId="43" fontId="13" fillId="0" borderId="0" applyFont="0" applyFill="0" applyBorder="0" applyAlignment="0" applyProtection="0"/>
  </cellStyleXfs>
  <cellXfs count="790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/>
    <xf numFmtId="0" fontId="3" fillId="0" borderId="7" xfId="0" applyFont="1" applyBorder="1" applyAlignment="1">
      <alignment horizontal="left" vertical="center" readingOrder="1"/>
    </xf>
    <xf numFmtId="0" fontId="0" fillId="0" borderId="0" xfId="0" applyAlignment="1"/>
    <xf numFmtId="0" fontId="4" fillId="0" borderId="7" xfId="0" applyFont="1" applyBorder="1" applyAlignment="1">
      <alignment horizontal="left" vertical="center" readingOrder="1"/>
    </xf>
    <xf numFmtId="0" fontId="4" fillId="0" borderId="10" xfId="0" applyFont="1" applyFill="1" applyBorder="1" applyAlignment="1">
      <alignment horizontal="left" vertical="center" readingOrder="1"/>
    </xf>
    <xf numFmtId="0" fontId="4" fillId="0" borderId="7" xfId="0" applyFont="1" applyFill="1" applyBorder="1" applyAlignment="1">
      <alignment horizontal="left" vertical="center" readingOrder="1"/>
    </xf>
    <xf numFmtId="0" fontId="7" fillId="0" borderId="3" xfId="0" applyFont="1" applyBorder="1" applyAlignment="1">
      <alignment horizontal="left" vertical="center" readingOrder="1"/>
    </xf>
    <xf numFmtId="0" fontId="9" fillId="0" borderId="3" xfId="0" applyFont="1" applyBorder="1" applyAlignment="1"/>
    <xf numFmtId="0" fontId="11" fillId="0" borderId="0" xfId="0" applyFont="1" applyAlignment="1"/>
    <xf numFmtId="38" fontId="0" fillId="0" borderId="0" xfId="0" applyNumberFormat="1"/>
    <xf numFmtId="38" fontId="5" fillId="0" borderId="9" xfId="0" applyNumberFormat="1" applyFont="1" applyBorder="1" applyAlignment="1">
      <alignment horizontal="right" vertical="center" readingOrder="1"/>
    </xf>
    <xf numFmtId="38" fontId="3" fillId="0" borderId="8" xfId="0" applyNumberFormat="1" applyFont="1" applyBorder="1" applyAlignment="1">
      <alignment horizontal="right" vertical="center" readingOrder="1"/>
    </xf>
    <xf numFmtId="38" fontId="4" fillId="0" borderId="8" xfId="0" applyNumberFormat="1" applyFont="1" applyBorder="1" applyAlignment="1">
      <alignment horizontal="right" vertical="center" readingOrder="1"/>
    </xf>
    <xf numFmtId="38" fontId="4" fillId="0" borderId="11" xfId="0" applyNumberFormat="1" applyFont="1" applyBorder="1" applyAlignment="1">
      <alignment horizontal="right" vertical="center" readingOrder="1"/>
    </xf>
    <xf numFmtId="38" fontId="10" fillId="0" borderId="3" xfId="0" applyNumberFormat="1" applyFont="1" applyBorder="1" applyAlignment="1">
      <alignment horizontal="right" vertical="center" readingOrder="1"/>
    </xf>
    <xf numFmtId="38" fontId="0" fillId="0" borderId="0" xfId="0" applyNumberFormat="1" applyAlignment="1">
      <alignment horizontal="right"/>
    </xf>
    <xf numFmtId="0" fontId="1" fillId="0" borderId="3" xfId="0" applyFont="1" applyBorder="1" applyAlignment="1">
      <alignment horizontal="left" vertical="center"/>
    </xf>
    <xf numFmtId="38" fontId="7" fillId="0" borderId="8" xfId="0" applyNumberFormat="1" applyFont="1" applyBorder="1" applyAlignment="1">
      <alignment horizontal="right" vertical="center" readingOrder="1"/>
    </xf>
    <xf numFmtId="38" fontId="7" fillId="0" borderId="9" xfId="0" applyNumberFormat="1" applyFont="1" applyBorder="1" applyAlignment="1">
      <alignment horizontal="right" vertical="center" readingOrder="1"/>
    </xf>
    <xf numFmtId="38" fontId="1" fillId="0" borderId="3" xfId="0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 readingOrder="1"/>
    </xf>
    <xf numFmtId="0" fontId="12" fillId="3" borderId="5" xfId="0" applyFont="1" applyFill="1" applyBorder="1" applyAlignment="1">
      <alignment horizontal="center" vertical="center" wrapText="1" readingOrder="1"/>
    </xf>
    <xf numFmtId="49" fontId="12" fillId="3" borderId="5" xfId="0" applyNumberFormat="1" applyFont="1" applyFill="1" applyBorder="1" applyAlignment="1">
      <alignment horizontal="center" vertical="center" wrapText="1" readingOrder="1"/>
    </xf>
    <xf numFmtId="38" fontId="12" fillId="3" borderId="6" xfId="0" applyNumberFormat="1" applyFont="1" applyFill="1" applyBorder="1" applyAlignment="1">
      <alignment horizontal="center" vertical="center" wrapText="1" readingOrder="1"/>
    </xf>
    <xf numFmtId="38" fontId="6" fillId="0" borderId="0" xfId="0" applyNumberFormat="1" applyFont="1" applyAlignment="1">
      <alignment horizontal="right"/>
    </xf>
    <xf numFmtId="38" fontId="6" fillId="0" borderId="0" xfId="0" applyNumberFormat="1" applyFont="1"/>
    <xf numFmtId="164" fontId="6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 applyAlignment="1">
      <alignment horizontal="center" vertical="center"/>
    </xf>
    <xf numFmtId="164" fontId="6" fillId="0" borderId="0" xfId="1" applyNumberFormat="1" applyFont="1" applyAlignment="1"/>
    <xf numFmtId="164" fontId="0" fillId="0" borderId="0" xfId="1" applyNumberFormat="1" applyFont="1" applyAlignment="1"/>
    <xf numFmtId="164" fontId="11" fillId="0" borderId="0" xfId="1" applyNumberFormat="1" applyFont="1" applyAlignment="1"/>
    <xf numFmtId="0" fontId="4" fillId="0" borderId="7" xfId="0" applyFont="1" applyBorder="1" applyAlignment="1">
      <alignment horizontal="left" vertical="center" wrapText="1" readingOrder="1"/>
    </xf>
    <xf numFmtId="49" fontId="6" fillId="0" borderId="3" xfId="1" applyNumberFormat="1" applyFont="1" applyBorder="1" applyAlignment="1">
      <alignment horizontal="center" vertical="center"/>
    </xf>
    <xf numFmtId="49" fontId="0" fillId="0" borderId="3" xfId="1" applyNumberFormat="1" applyFont="1" applyBorder="1" applyAlignment="1">
      <alignment horizontal="center" vertical="center"/>
    </xf>
    <xf numFmtId="38" fontId="0" fillId="0" borderId="0" xfId="0" applyNumberFormat="1" applyAlignment="1"/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16" fillId="4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18" fillId="4" borderId="0" xfId="0" applyFont="1" applyFill="1" applyAlignment="1">
      <alignment vertical="center"/>
    </xf>
    <xf numFmtId="165" fontId="17" fillId="4" borderId="0" xfId="0" applyNumberFormat="1" applyFont="1" applyFill="1" applyAlignment="1">
      <alignment vertical="center"/>
    </xf>
    <xf numFmtId="4" fontId="18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9" fillId="5" borderId="12" xfId="0" applyNumberFormat="1" applyFont="1" applyFill="1" applyBorder="1" applyAlignment="1">
      <alignment horizontal="center" vertical="center" wrapText="1"/>
    </xf>
    <xf numFmtId="4" fontId="19" fillId="5" borderId="13" xfId="0" applyNumberFormat="1" applyFont="1" applyFill="1" applyBorder="1" applyAlignment="1">
      <alignment vertical="top" wrapText="1"/>
    </xf>
    <xf numFmtId="4" fontId="19" fillId="6" borderId="13" xfId="0" applyNumberFormat="1" applyFont="1" applyFill="1" applyBorder="1" applyAlignment="1">
      <alignment vertical="center"/>
    </xf>
    <xf numFmtId="4" fontId="20" fillId="6" borderId="13" xfId="0" applyNumberFormat="1" applyFont="1" applyFill="1" applyBorder="1" applyAlignment="1">
      <alignment vertical="center"/>
    </xf>
    <xf numFmtId="4" fontId="21" fillId="6" borderId="14" xfId="0" applyNumberFormat="1" applyFont="1" applyFill="1" applyBorder="1" applyAlignment="1">
      <alignment vertical="center"/>
    </xf>
    <xf numFmtId="4" fontId="22" fillId="0" borderId="0" xfId="0" applyNumberFormat="1" applyFont="1" applyAlignment="1">
      <alignment vertical="center"/>
    </xf>
    <xf numFmtId="4" fontId="23" fillId="0" borderId="0" xfId="0" applyNumberFormat="1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6" borderId="15" xfId="0" applyNumberFormat="1" applyFont="1" applyFill="1" applyBorder="1" applyAlignment="1">
      <alignment horizontal="center" vertical="center" wrapText="1"/>
    </xf>
    <xf numFmtId="4" fontId="25" fillId="6" borderId="0" xfId="0" applyNumberFormat="1" applyFont="1" applyFill="1" applyBorder="1" applyAlignment="1">
      <alignment horizontal="left" vertical="center" wrapText="1"/>
    </xf>
    <xf numFmtId="4" fontId="26" fillId="6" borderId="0" xfId="0" applyNumberFormat="1" applyFont="1" applyFill="1" applyBorder="1" applyAlignment="1">
      <alignment vertical="center"/>
    </xf>
    <xf numFmtId="4" fontId="20" fillId="6" borderId="0" xfId="0" applyNumberFormat="1" applyFont="1" applyFill="1" applyBorder="1" applyAlignment="1">
      <alignment vertical="center"/>
    </xf>
    <xf numFmtId="4" fontId="21" fillId="6" borderId="16" xfId="0" applyNumberFormat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0" fillId="6" borderId="15" xfId="0" applyNumberFormat="1" applyFont="1" applyFill="1" applyBorder="1" applyAlignment="1">
      <alignment horizontal="center" vertical="center" wrapText="1"/>
    </xf>
    <xf numFmtId="4" fontId="27" fillId="6" borderId="0" xfId="0" applyNumberFormat="1" applyFont="1" applyFill="1" applyBorder="1" applyAlignment="1">
      <alignment vertical="center"/>
    </xf>
    <xf numFmtId="4" fontId="23" fillId="6" borderId="0" xfId="0" applyNumberFormat="1" applyFont="1" applyFill="1" applyAlignment="1">
      <alignment vertical="center"/>
    </xf>
    <xf numFmtId="4" fontId="26" fillId="6" borderId="0" xfId="0" applyNumberFormat="1" applyFont="1" applyFill="1" applyBorder="1" applyAlignment="1">
      <alignment vertical="center" wrapText="1"/>
    </xf>
    <xf numFmtId="4" fontId="28" fillId="6" borderId="0" xfId="0" applyNumberFormat="1" applyFont="1" applyFill="1" applyBorder="1" applyAlignment="1">
      <alignment horizontal="left" vertical="center" wrapText="1"/>
    </xf>
    <xf numFmtId="4" fontId="28" fillId="6" borderId="0" xfId="0" applyNumberFormat="1" applyFont="1" applyFill="1" applyBorder="1" applyAlignment="1">
      <alignment vertical="center" wrapText="1"/>
    </xf>
    <xf numFmtId="4" fontId="19" fillId="6" borderId="0" xfId="0" applyNumberFormat="1" applyFont="1" applyFill="1" applyBorder="1" applyAlignment="1">
      <alignment vertical="center"/>
    </xf>
    <xf numFmtId="4" fontId="29" fillId="7" borderId="17" xfId="0" applyNumberFormat="1" applyFont="1" applyFill="1" applyBorder="1" applyAlignment="1">
      <alignment vertical="center"/>
    </xf>
    <xf numFmtId="4" fontId="22" fillId="7" borderId="0" xfId="0" applyNumberFormat="1" applyFont="1" applyFill="1" applyAlignment="1">
      <alignment vertical="center"/>
    </xf>
    <xf numFmtId="4" fontId="19" fillId="6" borderId="0" xfId="0" applyNumberFormat="1" applyFont="1" applyFill="1" applyBorder="1" applyAlignment="1">
      <alignment vertical="top" wrapText="1"/>
    </xf>
    <xf numFmtId="4" fontId="30" fillId="6" borderId="0" xfId="0" applyNumberFormat="1" applyFont="1" applyFill="1" applyBorder="1" applyAlignment="1">
      <alignment horizontal="left" vertical="center" wrapText="1"/>
    </xf>
    <xf numFmtId="4" fontId="30" fillId="6" borderId="0" xfId="0" applyNumberFormat="1" applyFont="1" applyFill="1" applyBorder="1" applyAlignment="1">
      <alignment vertical="center"/>
    </xf>
    <xf numFmtId="4" fontId="31" fillId="6" borderId="0" xfId="0" applyNumberFormat="1" applyFont="1" applyFill="1" applyBorder="1" applyAlignment="1">
      <alignment vertical="center"/>
    </xf>
    <xf numFmtId="4" fontId="30" fillId="6" borderId="0" xfId="0" applyNumberFormat="1" applyFont="1" applyFill="1" applyBorder="1" applyAlignment="1">
      <alignment vertical="center" wrapText="1"/>
    </xf>
    <xf numFmtId="4" fontId="32" fillId="6" borderId="0" xfId="0" applyNumberFormat="1" applyFont="1" applyFill="1" applyBorder="1" applyAlignment="1">
      <alignment vertical="center"/>
    </xf>
    <xf numFmtId="0" fontId="33" fillId="4" borderId="15" xfId="0" applyNumberFormat="1" applyFont="1" applyFill="1" applyBorder="1" applyAlignment="1">
      <alignment horizontal="center" vertical="center" wrapText="1"/>
    </xf>
    <xf numFmtId="4" fontId="33" fillId="4" borderId="0" xfId="0" applyNumberFormat="1" applyFont="1" applyFill="1" applyBorder="1" applyAlignment="1">
      <alignment vertical="center"/>
    </xf>
    <xf numFmtId="4" fontId="34" fillId="4" borderId="16" xfId="0" applyNumberFormat="1" applyFont="1" applyFill="1" applyBorder="1" applyAlignment="1">
      <alignment vertical="center"/>
    </xf>
    <xf numFmtId="4" fontId="22" fillId="6" borderId="0" xfId="0" applyNumberFormat="1" applyFont="1" applyFill="1" applyAlignment="1">
      <alignment vertical="center"/>
    </xf>
    <xf numFmtId="4" fontId="35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9" fillId="5" borderId="0" xfId="0" applyNumberFormat="1" applyFont="1" applyFill="1" applyBorder="1" applyAlignment="1">
      <alignment vertical="top" wrapText="1"/>
    </xf>
    <xf numFmtId="4" fontId="36" fillId="6" borderId="0" xfId="0" applyNumberFormat="1" applyFont="1" applyFill="1" applyBorder="1" applyAlignment="1">
      <alignment vertical="center"/>
    </xf>
    <xf numFmtId="4" fontId="21" fillId="8" borderId="16" xfId="0" applyNumberFormat="1" applyFont="1" applyFill="1" applyBorder="1" applyAlignment="1">
      <alignment vertical="center"/>
    </xf>
    <xf numFmtId="0" fontId="25" fillId="6" borderId="15" xfId="0" applyNumberFormat="1" applyFont="1" applyFill="1" applyBorder="1" applyAlignment="1">
      <alignment horizontal="center" vertical="center" wrapText="1"/>
    </xf>
    <xf numFmtId="4" fontId="25" fillId="6" borderId="0" xfId="0" applyNumberFormat="1" applyFont="1" applyFill="1" applyBorder="1" applyAlignment="1">
      <alignment vertical="center"/>
    </xf>
    <xf numFmtId="4" fontId="25" fillId="6" borderId="16" xfId="0" applyNumberFormat="1" applyFont="1" applyFill="1" applyBorder="1" applyAlignment="1">
      <alignment vertical="center"/>
    </xf>
    <xf numFmtId="4" fontId="18" fillId="6" borderId="0" xfId="0" applyNumberFormat="1" applyFont="1" applyFill="1" applyAlignment="1">
      <alignment vertical="center"/>
    </xf>
    <xf numFmtId="4" fontId="37" fillId="6" borderId="0" xfId="0" applyNumberFormat="1" applyFont="1" applyFill="1" applyBorder="1" applyAlignment="1">
      <alignment horizontal="left" vertical="center" wrapText="1"/>
    </xf>
    <xf numFmtId="4" fontId="17" fillId="6" borderId="0" xfId="0" applyNumberFormat="1" applyFont="1" applyFill="1" applyAlignment="1">
      <alignment vertical="center"/>
    </xf>
    <xf numFmtId="0" fontId="17" fillId="6" borderId="0" xfId="0" applyFont="1" applyFill="1" applyAlignment="1">
      <alignment vertical="center"/>
    </xf>
    <xf numFmtId="4" fontId="28" fillId="6" borderId="18" xfId="0" applyNumberFormat="1" applyFont="1" applyFill="1" applyBorder="1" applyAlignment="1">
      <alignment vertical="center" wrapText="1"/>
    </xf>
    <xf numFmtId="4" fontId="32" fillId="5" borderId="0" xfId="0" applyNumberFormat="1" applyFont="1" applyFill="1" applyBorder="1" applyAlignment="1">
      <alignment vertical="top" wrapText="1"/>
    </xf>
    <xf numFmtId="4" fontId="24" fillId="6" borderId="0" xfId="0" applyNumberFormat="1" applyFont="1" applyFill="1" applyAlignment="1">
      <alignment vertical="center"/>
    </xf>
    <xf numFmtId="0" fontId="23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38" fillId="6" borderId="15" xfId="0" applyNumberFormat="1" applyFont="1" applyFill="1" applyBorder="1" applyAlignment="1">
      <alignment horizontal="center" vertical="center" wrapText="1"/>
    </xf>
    <xf numFmtId="4" fontId="39" fillId="6" borderId="0" xfId="0" applyNumberFormat="1" applyFont="1" applyFill="1" applyBorder="1" applyAlignment="1">
      <alignment horizontal="left" vertical="center" wrapText="1"/>
    </xf>
    <xf numFmtId="4" fontId="38" fillId="6" borderId="0" xfId="0" applyNumberFormat="1" applyFont="1" applyFill="1" applyBorder="1" applyAlignment="1">
      <alignment vertical="center"/>
    </xf>
    <xf numFmtId="4" fontId="40" fillId="6" borderId="16" xfId="0" applyNumberFormat="1" applyFont="1" applyFill="1" applyBorder="1" applyAlignment="1">
      <alignment vertical="center"/>
    </xf>
    <xf numFmtId="4" fontId="15" fillId="6" borderId="0" xfId="0" applyNumberFormat="1" applyFont="1" applyFill="1" applyAlignment="1">
      <alignment vertical="center"/>
    </xf>
    <xf numFmtId="4" fontId="41" fillId="6" borderId="0" xfId="0" applyNumberFormat="1" applyFont="1" applyFill="1" applyAlignment="1">
      <alignment vertical="center"/>
    </xf>
    <xf numFmtId="0" fontId="41" fillId="6" borderId="0" xfId="0" applyFont="1" applyFill="1" applyAlignment="1">
      <alignment vertical="center"/>
    </xf>
    <xf numFmtId="4" fontId="22" fillId="7" borderId="17" xfId="0" applyNumberFormat="1" applyFont="1" applyFill="1" applyBorder="1" applyAlignment="1">
      <alignment vertical="center"/>
    </xf>
    <xf numFmtId="4" fontId="33" fillId="4" borderId="18" xfId="0" applyNumberFormat="1" applyFont="1" applyFill="1" applyBorder="1" applyAlignment="1">
      <alignment vertical="center" wrapText="1"/>
    </xf>
    <xf numFmtId="4" fontId="42" fillId="6" borderId="0" xfId="0" applyNumberFormat="1" applyFont="1" applyFill="1" applyAlignment="1">
      <alignment vertical="center"/>
    </xf>
    <xf numFmtId="0" fontId="42" fillId="6" borderId="0" xfId="0" applyFont="1" applyFill="1" applyAlignment="1">
      <alignment vertical="center"/>
    </xf>
    <xf numFmtId="4" fontId="43" fillId="5" borderId="0" xfId="0" applyNumberFormat="1" applyFont="1" applyFill="1" applyBorder="1" applyAlignment="1">
      <alignment vertical="top" wrapText="1"/>
    </xf>
    <xf numFmtId="0" fontId="44" fillId="5" borderId="12" xfId="0" applyNumberFormat="1" applyFont="1" applyFill="1" applyBorder="1" applyAlignment="1">
      <alignment horizontal="center" vertical="center" wrapText="1"/>
    </xf>
    <xf numFmtId="4" fontId="44" fillId="5" borderId="13" xfId="0" applyNumberFormat="1" applyFont="1" applyFill="1" applyBorder="1" applyAlignment="1">
      <alignment vertical="top" wrapText="1"/>
    </xf>
    <xf numFmtId="4" fontId="25" fillId="6" borderId="13" xfId="0" applyNumberFormat="1" applyFont="1" applyFill="1" applyBorder="1" applyAlignment="1">
      <alignment vertical="center"/>
    </xf>
    <xf numFmtId="4" fontId="25" fillId="6" borderId="14" xfId="0" applyNumberFormat="1" applyFont="1" applyFill="1" applyBorder="1" applyAlignment="1">
      <alignment vertical="center"/>
    </xf>
    <xf numFmtId="4" fontId="44" fillId="6" borderId="16" xfId="0" applyNumberFormat="1" applyFont="1" applyFill="1" applyBorder="1" applyAlignment="1">
      <alignment vertical="center"/>
    </xf>
    <xf numFmtId="4" fontId="25" fillId="6" borderId="0" xfId="0" applyNumberFormat="1" applyFont="1" applyFill="1" applyBorder="1" applyAlignment="1">
      <alignment vertical="center" wrapText="1"/>
    </xf>
    <xf numFmtId="4" fontId="37" fillId="6" borderId="0" xfId="0" applyNumberFormat="1" applyFont="1" applyFill="1" applyBorder="1" applyAlignment="1">
      <alignment vertical="center" wrapText="1"/>
    </xf>
    <xf numFmtId="4" fontId="44" fillId="6" borderId="0" xfId="0" applyNumberFormat="1" applyFont="1" applyFill="1" applyBorder="1" applyAlignment="1">
      <alignment vertical="center"/>
    </xf>
    <xf numFmtId="4" fontId="44" fillId="7" borderId="17" xfId="0" applyNumberFormat="1" applyFont="1" applyFill="1" applyBorder="1" applyAlignment="1">
      <alignment vertical="center"/>
    </xf>
    <xf numFmtId="4" fontId="18" fillId="7" borderId="0" xfId="0" applyNumberFormat="1" applyFont="1" applyFill="1" applyAlignment="1">
      <alignment vertical="center"/>
    </xf>
    <xf numFmtId="0" fontId="25" fillId="5" borderId="12" xfId="0" applyNumberFormat="1" applyFont="1" applyFill="1" applyBorder="1" applyAlignment="1">
      <alignment horizontal="center" vertical="center" wrapText="1"/>
    </xf>
    <xf numFmtId="4" fontId="25" fillId="7" borderId="17" xfId="0" applyNumberFormat="1" applyFont="1" applyFill="1" applyBorder="1" applyAlignment="1">
      <alignment vertical="center"/>
    </xf>
    <xf numFmtId="4" fontId="17" fillId="7" borderId="0" xfId="0" applyNumberFormat="1" applyFont="1" applyFill="1" applyAlignment="1">
      <alignment vertical="center"/>
    </xf>
    <xf numFmtId="4" fontId="17" fillId="6" borderId="0" xfId="0" applyNumberFormat="1" applyFont="1" applyFill="1" applyBorder="1" applyAlignment="1">
      <alignment vertical="center"/>
    </xf>
    <xf numFmtId="0" fontId="18" fillId="5" borderId="0" xfId="0" applyFont="1" applyFill="1" applyBorder="1" applyAlignment="1">
      <alignment vertical="center" wrapText="1"/>
    </xf>
    <xf numFmtId="4" fontId="25" fillId="6" borderId="0" xfId="0" applyNumberFormat="1" applyFont="1" applyFill="1" applyBorder="1" applyAlignment="1">
      <alignment vertical="top" wrapText="1"/>
    </xf>
    <xf numFmtId="4" fontId="25" fillId="6" borderId="0" xfId="0" applyNumberFormat="1" applyFont="1" applyFill="1" applyAlignment="1">
      <alignment vertical="center"/>
    </xf>
    <xf numFmtId="0" fontId="25" fillId="6" borderId="0" xfId="0" applyFont="1" applyFill="1" applyAlignment="1">
      <alignment vertical="center"/>
    </xf>
    <xf numFmtId="4" fontId="25" fillId="6" borderId="0" xfId="0" applyNumberFormat="1" applyFont="1" applyFill="1" applyBorder="1" applyAlignment="1">
      <alignment horizontal="right" vertical="center"/>
    </xf>
    <xf numFmtId="4" fontId="25" fillId="6" borderId="18" xfId="0" applyNumberFormat="1" applyFont="1" applyFill="1" applyBorder="1" applyAlignment="1">
      <alignment vertical="center" wrapText="1"/>
    </xf>
    <xf numFmtId="4" fontId="17" fillId="6" borderId="0" xfId="0" applyNumberFormat="1" applyFont="1" applyFill="1" applyBorder="1" applyAlignment="1">
      <alignment vertical="center" wrapText="1"/>
    </xf>
    <xf numFmtId="4" fontId="46" fillId="6" borderId="16" xfId="0" applyNumberFormat="1" applyFont="1" applyFill="1" applyBorder="1" applyAlignment="1">
      <alignment vertical="center"/>
    </xf>
    <xf numFmtId="4" fontId="25" fillId="0" borderId="16" xfId="0" applyNumberFormat="1" applyFont="1" applyFill="1" applyBorder="1" applyAlignment="1">
      <alignment vertical="center"/>
    </xf>
    <xf numFmtId="4" fontId="17" fillId="6" borderId="14" xfId="0" applyNumberFormat="1" applyFont="1" applyFill="1" applyBorder="1" applyAlignment="1">
      <alignment vertical="center"/>
    </xf>
    <xf numFmtId="0" fontId="17" fillId="6" borderId="15" xfId="0" applyNumberFormat="1" applyFont="1" applyFill="1" applyBorder="1" applyAlignment="1">
      <alignment horizontal="center" vertical="center" wrapText="1"/>
    </xf>
    <xf numFmtId="4" fontId="17" fillId="6" borderId="0" xfId="0" applyNumberFormat="1" applyFont="1" applyFill="1" applyBorder="1" applyAlignment="1">
      <alignment horizontal="left" vertical="center" wrapText="1"/>
    </xf>
    <xf numFmtId="4" fontId="17" fillId="6" borderId="16" xfId="0" applyNumberFormat="1" applyFont="1" applyFill="1" applyBorder="1" applyAlignment="1">
      <alignment vertical="center"/>
    </xf>
    <xf numFmtId="4" fontId="17" fillId="9" borderId="0" xfId="0" applyNumberFormat="1" applyFont="1" applyFill="1" applyAlignment="1">
      <alignment vertical="center"/>
    </xf>
    <xf numFmtId="166" fontId="25" fillId="6" borderId="19" xfId="1" applyNumberFormat="1" applyFont="1" applyFill="1" applyBorder="1" applyAlignment="1">
      <alignment vertical="center"/>
    </xf>
    <xf numFmtId="0" fontId="25" fillId="6" borderId="20" xfId="0" applyNumberFormat="1" applyFont="1" applyFill="1" applyBorder="1" applyAlignment="1">
      <alignment horizontal="center" vertical="center" wrapText="1"/>
    </xf>
    <xf numFmtId="4" fontId="25" fillId="6" borderId="18" xfId="0" applyNumberFormat="1" applyFont="1" applyFill="1" applyBorder="1" applyAlignment="1">
      <alignment horizontal="right" vertical="center"/>
    </xf>
    <xf numFmtId="4" fontId="25" fillId="6" borderId="18" xfId="0" applyNumberFormat="1" applyFont="1" applyFill="1" applyBorder="1" applyAlignment="1">
      <alignment vertical="center"/>
    </xf>
    <xf numFmtId="4" fontId="25" fillId="6" borderId="21" xfId="0" applyNumberFormat="1" applyFont="1" applyFill="1" applyBorder="1" applyAlignment="1">
      <alignment vertical="center"/>
    </xf>
    <xf numFmtId="166" fontId="25" fillId="6" borderId="0" xfId="1" applyNumberFormat="1" applyFont="1" applyFill="1" applyBorder="1" applyAlignment="1">
      <alignment horizontal="center" vertical="center"/>
    </xf>
    <xf numFmtId="166" fontId="25" fillId="6" borderId="0" xfId="1" applyNumberFormat="1" applyFont="1" applyFill="1" applyBorder="1" applyAlignment="1">
      <alignment vertical="center"/>
    </xf>
    <xf numFmtId="4" fontId="25" fillId="7" borderId="22" xfId="0" applyNumberFormat="1" applyFont="1" applyFill="1" applyBorder="1" applyAlignment="1">
      <alignment vertical="center"/>
    </xf>
    <xf numFmtId="0" fontId="47" fillId="5" borderId="23" xfId="0" applyNumberFormat="1" applyFont="1" applyFill="1" applyBorder="1" applyAlignment="1">
      <alignment horizontal="center" vertical="center"/>
    </xf>
    <xf numFmtId="4" fontId="48" fillId="5" borderId="23" xfId="0" applyNumberFormat="1" applyFont="1" applyFill="1" applyBorder="1" applyAlignment="1">
      <alignment vertical="center"/>
    </xf>
    <xf numFmtId="166" fontId="47" fillId="6" borderId="23" xfId="1" applyNumberFormat="1" applyFont="1" applyFill="1" applyBorder="1" applyAlignment="1">
      <alignment horizontal="left" vertical="center" wrapText="1"/>
    </xf>
    <xf numFmtId="4" fontId="47" fillId="6" borderId="0" xfId="0" applyNumberFormat="1" applyFont="1" applyFill="1" applyAlignment="1">
      <alignment vertical="center"/>
    </xf>
    <xf numFmtId="4" fontId="47" fillId="0" borderId="0" xfId="0" applyNumberFormat="1" applyFont="1" applyFill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25" fillId="6" borderId="0" xfId="1" applyNumberFormat="1" applyFont="1" applyFill="1" applyBorder="1" applyAlignment="1">
      <alignment horizontal="left" vertical="center" wrapText="1"/>
    </xf>
    <xf numFmtId="167" fontId="25" fillId="6" borderId="0" xfId="1" applyNumberFormat="1" applyFont="1" applyFill="1" applyBorder="1" applyAlignment="1">
      <alignment vertical="center"/>
    </xf>
    <xf numFmtId="4" fontId="25" fillId="6" borderId="24" xfId="0" applyNumberFormat="1" applyFont="1" applyFill="1" applyBorder="1" applyAlignment="1">
      <alignment vertical="center"/>
    </xf>
    <xf numFmtId="0" fontId="17" fillId="5" borderId="0" xfId="0" applyNumberFormat="1" applyFont="1" applyFill="1" applyAlignment="1">
      <alignment horizontal="center" vertical="center"/>
    </xf>
    <xf numFmtId="166" fontId="44" fillId="5" borderId="23" xfId="1" applyNumberFormat="1" applyFont="1" applyFill="1" applyBorder="1" applyAlignment="1">
      <alignment horizontal="left" vertical="center"/>
    </xf>
    <xf numFmtId="166" fontId="25" fillId="0" borderId="23" xfId="1" applyNumberFormat="1" applyFont="1" applyFill="1" applyBorder="1" applyAlignment="1">
      <alignment horizontal="left" vertical="center"/>
    </xf>
    <xf numFmtId="166" fontId="25" fillId="0" borderId="23" xfId="1" applyNumberFormat="1" applyFont="1" applyFill="1" applyBorder="1" applyAlignment="1">
      <alignment vertical="center"/>
    </xf>
    <xf numFmtId="166" fontId="25" fillId="0" borderId="23" xfId="1" applyNumberFormat="1" applyFont="1" applyFill="1" applyBorder="1" applyAlignment="1">
      <alignment horizontal="center" vertical="center"/>
    </xf>
    <xf numFmtId="4" fontId="17" fillId="0" borderId="0" xfId="0" applyNumberFormat="1" applyFont="1" applyFill="1" applyAlignment="1">
      <alignment vertical="center"/>
    </xf>
    <xf numFmtId="166" fontId="25" fillId="6" borderId="0" xfId="1" applyNumberFormat="1" applyFont="1" applyFill="1" applyBorder="1" applyAlignment="1">
      <alignment horizontal="left" vertical="center"/>
    </xf>
    <xf numFmtId="166" fontId="25" fillId="0" borderId="0" xfId="1" applyNumberFormat="1" applyFont="1" applyFill="1" applyBorder="1" applyAlignment="1">
      <alignment horizontal="left" vertical="center"/>
    </xf>
    <xf numFmtId="0" fontId="17" fillId="5" borderId="23" xfId="0" applyNumberFormat="1" applyFont="1" applyFill="1" applyBorder="1" applyAlignment="1">
      <alignment horizontal="center" vertical="center"/>
    </xf>
    <xf numFmtId="4" fontId="18" fillId="5" borderId="23" xfId="0" applyNumberFormat="1" applyFont="1" applyFill="1" applyBorder="1" applyAlignment="1">
      <alignment vertical="center"/>
    </xf>
    <xf numFmtId="166" fontId="25" fillId="0" borderId="23" xfId="1" applyNumberFormat="1" applyFont="1" applyFill="1" applyBorder="1" applyAlignment="1">
      <alignment horizontal="left" vertical="center" wrapText="1"/>
    </xf>
    <xf numFmtId="166" fontId="25" fillId="7" borderId="3" xfId="0" applyNumberFormat="1" applyFont="1" applyFill="1" applyBorder="1" applyAlignment="1">
      <alignment vertical="center"/>
    </xf>
    <xf numFmtId="4" fontId="25" fillId="6" borderId="25" xfId="0" applyNumberFormat="1" applyFont="1" applyFill="1" applyBorder="1" applyAlignment="1">
      <alignment vertical="center"/>
    </xf>
    <xf numFmtId="4" fontId="18" fillId="5" borderId="0" xfId="0" applyNumberFormat="1" applyFont="1" applyFill="1" applyBorder="1" applyAlignment="1">
      <alignment vertical="center"/>
    </xf>
    <xf numFmtId="166" fontId="25" fillId="0" borderId="0" xfId="1" applyNumberFormat="1" applyFont="1" applyFill="1" applyBorder="1" applyAlignment="1">
      <alignment vertical="center"/>
    </xf>
    <xf numFmtId="166" fontId="25" fillId="0" borderId="0" xfId="1" applyNumberFormat="1" applyFont="1" applyFill="1" applyBorder="1" applyAlignment="1">
      <alignment horizontal="center" vertical="center"/>
    </xf>
    <xf numFmtId="0" fontId="17" fillId="0" borderId="0" xfId="0" applyFont="1" applyFill="1" applyBorder="1"/>
    <xf numFmtId="166" fontId="25" fillId="0" borderId="0" xfId="1" applyNumberFormat="1" applyFont="1" applyFill="1" applyBorder="1" applyAlignment="1">
      <alignment horizontal="left" vertical="center" wrapText="1"/>
    </xf>
    <xf numFmtId="166" fontId="25" fillId="6" borderId="23" xfId="1" applyNumberFormat="1" applyFont="1" applyFill="1" applyBorder="1" applyAlignment="1">
      <alignment horizontal="left" vertical="center"/>
    </xf>
    <xf numFmtId="166" fontId="25" fillId="0" borderId="0" xfId="0" applyNumberFormat="1" applyFont="1" applyFill="1" applyBorder="1" applyAlignment="1">
      <alignment vertical="center"/>
    </xf>
    <xf numFmtId="0" fontId="17" fillId="0" borderId="0" xfId="0" applyNumberFormat="1" applyFont="1" applyAlignment="1">
      <alignment vertical="center"/>
    </xf>
    <xf numFmtId="0" fontId="17" fillId="5" borderId="23" xfId="0" applyNumberFormat="1" applyFont="1" applyFill="1" applyBorder="1" applyAlignment="1">
      <alignment vertical="center"/>
    </xf>
    <xf numFmtId="166" fontId="25" fillId="6" borderId="23" xfId="1" applyNumberFormat="1" applyFont="1" applyFill="1" applyBorder="1" applyAlignment="1">
      <alignment vertical="center"/>
    </xf>
    <xf numFmtId="0" fontId="17" fillId="0" borderId="0" xfId="0" applyFont="1" applyBorder="1"/>
    <xf numFmtId="166" fontId="17" fillId="0" borderId="0" xfId="1" applyNumberFormat="1" applyFont="1" applyBorder="1"/>
    <xf numFmtId="0" fontId="49" fillId="10" borderId="26" xfId="0" applyFont="1" applyFill="1" applyBorder="1" applyAlignment="1">
      <alignment vertical="center"/>
    </xf>
    <xf numFmtId="43" fontId="49" fillId="0" borderId="0" xfId="0" applyNumberFormat="1" applyFont="1" applyFill="1" applyAlignment="1">
      <alignment vertical="center"/>
    </xf>
    <xf numFmtId="0" fontId="49" fillId="0" borderId="0" xfId="0" applyFont="1" applyFill="1" applyAlignment="1">
      <alignment vertical="center"/>
    </xf>
    <xf numFmtId="0" fontId="14" fillId="0" borderId="0" xfId="0" applyFont="1"/>
    <xf numFmtId="4" fontId="25" fillId="3" borderId="17" xfId="0" applyNumberFormat="1" applyFont="1" applyFill="1" applyBorder="1" applyAlignment="1">
      <alignment vertical="center"/>
    </xf>
    <xf numFmtId="0" fontId="17" fillId="0" borderId="0" xfId="0" applyFont="1"/>
    <xf numFmtId="4" fontId="17" fillId="0" borderId="0" xfId="0" applyNumberFormat="1" applyFont="1"/>
    <xf numFmtId="0" fontId="17" fillId="6" borderId="0" xfId="0" applyFont="1" applyFill="1"/>
    <xf numFmtId="4" fontId="17" fillId="6" borderId="0" xfId="0" applyNumberFormat="1" applyFont="1" applyFill="1"/>
    <xf numFmtId="4" fontId="25" fillId="3" borderId="22" xfId="0" applyNumberFormat="1" applyFont="1" applyFill="1" applyBorder="1" applyAlignment="1">
      <alignment vertical="center"/>
    </xf>
    <xf numFmtId="4" fontId="18" fillId="7" borderId="0" xfId="0" applyNumberFormat="1" applyFont="1" applyFill="1"/>
    <xf numFmtId="43" fontId="17" fillId="7" borderId="0" xfId="1" applyFont="1" applyFill="1"/>
    <xf numFmtId="0" fontId="44" fillId="6" borderId="12" xfId="0" applyNumberFormat="1" applyFont="1" applyFill="1" applyBorder="1" applyAlignment="1">
      <alignment horizontal="center" vertical="center" wrapText="1"/>
    </xf>
    <xf numFmtId="4" fontId="44" fillId="11" borderId="0" xfId="0" applyNumberFormat="1" applyFont="1" applyFill="1" applyBorder="1" applyAlignment="1">
      <alignment horizontal="left" vertical="center" wrapText="1"/>
    </xf>
    <xf numFmtId="4" fontId="25" fillId="11" borderId="17" xfId="0" applyNumberFormat="1" applyFont="1" applyFill="1" applyBorder="1" applyAlignment="1">
      <alignment vertical="center"/>
    </xf>
    <xf numFmtId="4" fontId="17" fillId="5" borderId="17" xfId="0" applyNumberFormat="1" applyFont="1" applyFill="1" applyBorder="1"/>
    <xf numFmtId="0" fontId="35" fillId="5" borderId="3" xfId="0" applyFont="1" applyFill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4" fontId="25" fillId="5" borderId="17" xfId="0" applyNumberFormat="1" applyFont="1" applyFill="1" applyBorder="1" applyAlignment="1">
      <alignment vertical="center"/>
    </xf>
    <xf numFmtId="4" fontId="45" fillId="10" borderId="0" xfId="0" applyNumberFormat="1" applyFont="1" applyFill="1" applyAlignment="1">
      <alignment vertical="center"/>
    </xf>
    <xf numFmtId="0" fontId="33" fillId="12" borderId="12" xfId="0" applyNumberFormat="1" applyFont="1" applyFill="1" applyBorder="1" applyAlignment="1">
      <alignment horizontal="left" vertical="center"/>
    </xf>
    <xf numFmtId="4" fontId="24" fillId="12" borderId="0" xfId="0" applyNumberFormat="1" applyFont="1" applyFill="1" applyAlignment="1">
      <alignment vertical="center"/>
    </xf>
    <xf numFmtId="0" fontId="19" fillId="9" borderId="12" xfId="0" applyNumberFormat="1" applyFont="1" applyFill="1" applyBorder="1" applyAlignment="1">
      <alignment horizontal="center" vertical="center" wrapText="1"/>
    </xf>
    <xf numFmtId="4" fontId="20" fillId="6" borderId="0" xfId="0" applyNumberFormat="1" applyFont="1" applyFill="1" applyBorder="1" applyAlignment="1">
      <alignment vertical="center" wrapText="1"/>
    </xf>
    <xf numFmtId="4" fontId="20" fillId="6" borderId="0" xfId="0" applyNumberFormat="1" applyFont="1" applyFill="1" applyBorder="1" applyAlignment="1">
      <alignment horizontal="left" vertical="center" wrapText="1"/>
    </xf>
    <xf numFmtId="4" fontId="29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20" fillId="6" borderId="20" xfId="0" applyNumberFormat="1" applyFont="1" applyFill="1" applyBorder="1" applyAlignment="1">
      <alignment horizontal="center" vertical="center" wrapText="1"/>
    </xf>
    <xf numFmtId="4" fontId="19" fillId="6" borderId="18" xfId="0" applyNumberFormat="1" applyFont="1" applyFill="1" applyBorder="1" applyAlignment="1">
      <alignment horizontal="right" vertical="center"/>
    </xf>
    <xf numFmtId="4" fontId="19" fillId="6" borderId="18" xfId="0" applyNumberFormat="1" applyFont="1" applyFill="1" applyBorder="1" applyAlignment="1">
      <alignment vertical="center"/>
    </xf>
    <xf numFmtId="4" fontId="20" fillId="6" borderId="18" xfId="0" applyNumberFormat="1" applyFont="1" applyFill="1" applyBorder="1" applyAlignment="1">
      <alignment vertical="center"/>
    </xf>
    <xf numFmtId="4" fontId="29" fillId="0" borderId="21" xfId="0" applyNumberFormat="1" applyFont="1" applyFill="1" applyBorder="1" applyAlignment="1">
      <alignment vertical="center"/>
    </xf>
    <xf numFmtId="0" fontId="19" fillId="6" borderId="12" xfId="0" applyNumberFormat="1" applyFont="1" applyFill="1" applyBorder="1" applyAlignment="1">
      <alignment horizontal="center" vertical="center" wrapText="1"/>
    </xf>
    <xf numFmtId="4" fontId="24" fillId="9" borderId="0" xfId="0" applyNumberFormat="1" applyFont="1" applyFill="1" applyAlignment="1">
      <alignment horizontal="center" vertical="center"/>
    </xf>
    <xf numFmtId="4" fontId="24" fillId="6" borderId="0" xfId="0" applyNumberFormat="1" applyFont="1" applyFill="1" applyAlignment="1">
      <alignment horizontal="center" vertical="center"/>
    </xf>
    <xf numFmtId="4" fontId="20" fillId="14" borderId="28" xfId="0" applyNumberFormat="1" applyFont="1" applyFill="1" applyBorder="1" applyAlignment="1">
      <alignment vertical="center"/>
    </xf>
    <xf numFmtId="4" fontId="21" fillId="14" borderId="29" xfId="0" applyNumberFormat="1" applyFont="1" applyFill="1" applyBorder="1" applyAlignment="1">
      <alignment vertical="center"/>
    </xf>
    <xf numFmtId="168" fontId="24" fillId="0" borderId="0" xfId="0" applyNumberFormat="1" applyFont="1"/>
    <xf numFmtId="0" fontId="23" fillId="0" borderId="0" xfId="0" applyFont="1"/>
    <xf numFmtId="4" fontId="20" fillId="14" borderId="0" xfId="0" applyNumberFormat="1" applyFont="1" applyFill="1" applyBorder="1" applyAlignment="1">
      <alignment vertical="center"/>
    </xf>
    <xf numFmtId="4" fontId="21" fillId="14" borderId="16" xfId="0" applyNumberFormat="1" applyFont="1" applyFill="1" applyBorder="1" applyAlignment="1">
      <alignment vertical="center"/>
    </xf>
    <xf numFmtId="4" fontId="51" fillId="14" borderId="0" xfId="0" applyNumberFormat="1" applyFont="1" applyFill="1" applyBorder="1" applyAlignment="1">
      <alignment vertical="center"/>
    </xf>
    <xf numFmtId="4" fontId="19" fillId="6" borderId="0" xfId="0" applyNumberFormat="1" applyFont="1" applyFill="1" applyBorder="1" applyAlignment="1">
      <alignment vertical="center" wrapText="1"/>
    </xf>
    <xf numFmtId="4" fontId="20" fillId="11" borderId="0" xfId="0" applyNumberFormat="1" applyFont="1" applyFill="1" applyBorder="1" applyAlignment="1">
      <alignment vertical="center"/>
    </xf>
    <xf numFmtId="4" fontId="21" fillId="11" borderId="16" xfId="0" applyNumberFormat="1" applyFont="1" applyFill="1" applyBorder="1" applyAlignment="1">
      <alignment vertical="center"/>
    </xf>
    <xf numFmtId="4" fontId="20" fillId="5" borderId="0" xfId="0" applyNumberFormat="1" applyFont="1" applyFill="1" applyBorder="1" applyAlignment="1">
      <alignment vertical="center"/>
    </xf>
    <xf numFmtId="4" fontId="21" fillId="5" borderId="16" xfId="0" applyNumberFormat="1" applyFont="1" applyFill="1" applyBorder="1" applyAlignment="1">
      <alignment vertical="center"/>
    </xf>
    <xf numFmtId="4" fontId="20" fillId="13" borderId="0" xfId="0" applyNumberFormat="1" applyFont="1" applyFill="1" applyBorder="1" applyAlignment="1">
      <alignment vertical="center"/>
    </xf>
    <xf numFmtId="4" fontId="21" fillId="13" borderId="16" xfId="0" applyNumberFormat="1" applyFont="1" applyFill="1" applyBorder="1" applyAlignment="1">
      <alignment vertical="center"/>
    </xf>
    <xf numFmtId="4" fontId="20" fillId="3" borderId="0" xfId="0" applyNumberFormat="1" applyFont="1" applyFill="1" applyBorder="1" applyAlignment="1">
      <alignment vertical="center"/>
    </xf>
    <xf numFmtId="4" fontId="21" fillId="3" borderId="16" xfId="0" applyNumberFormat="1" applyFont="1" applyFill="1" applyBorder="1" applyAlignment="1">
      <alignment vertical="center"/>
    </xf>
    <xf numFmtId="4" fontId="51" fillId="3" borderId="0" xfId="0" applyNumberFormat="1" applyFont="1" applyFill="1" applyBorder="1" applyAlignment="1">
      <alignment vertical="center"/>
    </xf>
    <xf numFmtId="4" fontId="29" fillId="7" borderId="16" xfId="0" applyNumberFormat="1" applyFont="1" applyFill="1" applyBorder="1" applyAlignment="1">
      <alignment vertical="center"/>
    </xf>
    <xf numFmtId="169" fontId="23" fillId="7" borderId="0" xfId="2" applyFont="1" applyFill="1"/>
    <xf numFmtId="4" fontId="19" fillId="0" borderId="18" xfId="0" applyNumberFormat="1" applyFont="1" applyFill="1" applyBorder="1" applyAlignment="1">
      <alignment horizontal="right" vertical="center"/>
    </xf>
    <xf numFmtId="4" fontId="20" fillId="0" borderId="18" xfId="0" applyNumberFormat="1" applyFont="1" applyFill="1" applyBorder="1" applyAlignment="1">
      <alignment vertical="center"/>
    </xf>
    <xf numFmtId="4" fontId="19" fillId="0" borderId="18" xfId="0" applyNumberFormat="1" applyFont="1" applyFill="1" applyBorder="1" applyAlignment="1">
      <alignment vertical="center"/>
    </xf>
    <xf numFmtId="4" fontId="24" fillId="0" borderId="0" xfId="0" applyNumberFormat="1" applyFont="1" applyAlignment="1">
      <alignment horizontal="center" vertical="center"/>
    </xf>
    <xf numFmtId="166" fontId="20" fillId="6" borderId="0" xfId="3" applyNumberFormat="1" applyFont="1" applyFill="1" applyBorder="1" applyAlignment="1">
      <alignment vertical="center"/>
    </xf>
    <xf numFmtId="169" fontId="20" fillId="6" borderId="0" xfId="2" applyFont="1" applyFill="1" applyBorder="1" applyAlignment="1">
      <alignment vertical="center"/>
    </xf>
    <xf numFmtId="0" fontId="53" fillId="6" borderId="0" xfId="0" applyFont="1" applyFill="1" applyAlignment="1">
      <alignment vertical="center"/>
    </xf>
    <xf numFmtId="4" fontId="19" fillId="6" borderId="0" xfId="0" applyNumberFormat="1" applyFont="1" applyFill="1" applyBorder="1" applyAlignment="1">
      <alignment horizontal="left" vertical="center" wrapText="1"/>
    </xf>
    <xf numFmtId="169" fontId="20" fillId="6" borderId="0" xfId="2" applyFont="1" applyFill="1" applyBorder="1" applyAlignment="1">
      <alignment horizontal="center" vertical="center"/>
    </xf>
    <xf numFmtId="169" fontId="53" fillId="6" borderId="0" xfId="2" applyFont="1" applyFill="1" applyAlignment="1">
      <alignment vertical="center"/>
    </xf>
    <xf numFmtId="169" fontId="0" fillId="7" borderId="0" xfId="2" applyFont="1" applyFill="1" applyAlignment="1">
      <alignment vertical="center"/>
    </xf>
    <xf numFmtId="4" fontId="29" fillId="6" borderId="17" xfId="0" applyNumberFormat="1" applyFont="1" applyFill="1" applyBorder="1" applyAlignment="1">
      <alignment vertical="center"/>
    </xf>
    <xf numFmtId="39" fontId="23" fillId="0" borderId="0" xfId="4" applyNumberFormat="1" applyFont="1" applyAlignment="1">
      <alignment vertical="center"/>
    </xf>
    <xf numFmtId="39" fontId="23" fillId="7" borderId="0" xfId="4" applyNumberFormat="1" applyFont="1" applyFill="1" applyAlignment="1">
      <alignment vertical="center"/>
    </xf>
    <xf numFmtId="4" fontId="19" fillId="6" borderId="0" xfId="0" applyNumberFormat="1" applyFont="1" applyFill="1" applyBorder="1" applyAlignment="1">
      <alignment horizontal="right" vertical="center"/>
    </xf>
    <xf numFmtId="4" fontId="29" fillId="0" borderId="16" xfId="0" applyNumberFormat="1" applyFont="1" applyFill="1" applyBorder="1" applyAlignment="1">
      <alignment vertical="center"/>
    </xf>
    <xf numFmtId="4" fontId="19" fillId="13" borderId="13" xfId="0" applyNumberFormat="1" applyFont="1" applyFill="1" applyBorder="1" applyAlignment="1">
      <alignment vertical="center" wrapText="1"/>
    </xf>
    <xf numFmtId="4" fontId="20" fillId="6" borderId="14" xfId="0" applyNumberFormat="1" applyFont="1" applyFill="1" applyBorder="1" applyAlignment="1">
      <alignment vertical="center"/>
    </xf>
    <xf numFmtId="4" fontId="54" fillId="0" borderId="0" xfId="0" applyNumberFormat="1" applyFont="1" applyAlignment="1">
      <alignment vertical="center"/>
    </xf>
    <xf numFmtId="0" fontId="53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4" fontId="20" fillId="6" borderId="16" xfId="0" applyNumberFormat="1" applyFont="1" applyFill="1" applyBorder="1" applyAlignment="1">
      <alignment vertical="center"/>
    </xf>
    <xf numFmtId="4" fontId="20" fillId="0" borderId="16" xfId="0" applyNumberFormat="1" applyFont="1" applyFill="1" applyBorder="1" applyAlignment="1">
      <alignment vertical="center"/>
    </xf>
    <xf numFmtId="4" fontId="19" fillId="7" borderId="17" xfId="0" applyNumberFormat="1" applyFont="1" applyFill="1" applyBorder="1" applyAlignment="1">
      <alignment vertical="center"/>
    </xf>
    <xf numFmtId="2" fontId="55" fillId="7" borderId="0" xfId="0" applyNumberFormat="1" applyFont="1" applyFill="1" applyAlignment="1">
      <alignment vertical="center"/>
    </xf>
    <xf numFmtId="4" fontId="19" fillId="0" borderId="0" xfId="0" applyNumberFormat="1" applyFont="1" applyFill="1" applyBorder="1" applyAlignment="1">
      <alignment horizontal="right" vertical="center"/>
    </xf>
    <xf numFmtId="4" fontId="20" fillId="0" borderId="0" xfId="0" applyNumberFormat="1" applyFont="1" applyFill="1" applyBorder="1" applyAlignment="1">
      <alignment vertical="center"/>
    </xf>
    <xf numFmtId="4" fontId="19" fillId="0" borderId="0" xfId="0" applyNumberFormat="1" applyFont="1" applyFill="1" applyBorder="1" applyAlignment="1">
      <alignment vertical="center"/>
    </xf>
    <xf numFmtId="4" fontId="19" fillId="0" borderId="0" xfId="0" applyNumberFormat="1" applyFont="1" applyFill="1" applyBorder="1" applyAlignment="1">
      <alignment horizontal="left" vertical="top" wrapText="1"/>
    </xf>
    <xf numFmtId="0" fontId="35" fillId="9" borderId="13" xfId="2" applyNumberFormat="1" applyFont="1" applyFill="1" applyBorder="1" applyAlignment="1">
      <alignment horizontal="center" vertical="center"/>
    </xf>
    <xf numFmtId="4" fontId="19" fillId="13" borderId="13" xfId="0" applyNumberFormat="1" applyFont="1" applyFill="1" applyBorder="1" applyAlignment="1">
      <alignment vertical="top" wrapText="1"/>
    </xf>
    <xf numFmtId="4" fontId="20" fillId="11" borderId="13" xfId="0" applyNumberFormat="1" applyFont="1" applyFill="1" applyBorder="1" applyAlignment="1">
      <alignment vertical="center"/>
    </xf>
    <xf numFmtId="4" fontId="21" fillId="11" borderId="14" xfId="0" applyNumberFormat="1" applyFont="1" applyFill="1" applyBorder="1" applyAlignment="1">
      <alignment vertical="center"/>
    </xf>
    <xf numFmtId="4" fontId="19" fillId="0" borderId="0" xfId="0" applyNumberFormat="1" applyFont="1" applyFill="1" applyBorder="1" applyAlignment="1">
      <alignment vertical="top" wrapText="1"/>
    </xf>
    <xf numFmtId="169" fontId="23" fillId="0" borderId="0" xfId="0" applyNumberFormat="1" applyFont="1"/>
    <xf numFmtId="4" fontId="21" fillId="11" borderId="30" xfId="0" applyNumberFormat="1" applyFont="1" applyFill="1" applyBorder="1" applyAlignment="1">
      <alignment vertical="center"/>
    </xf>
    <xf numFmtId="169" fontId="24" fillId="0" borderId="0" xfId="2" applyFont="1" applyBorder="1"/>
    <xf numFmtId="4" fontId="19" fillId="11" borderId="17" xfId="0" applyNumberFormat="1" applyFont="1" applyFill="1" applyBorder="1" applyAlignment="1">
      <alignment vertical="center"/>
    </xf>
    <xf numFmtId="4" fontId="29" fillId="13" borderId="17" xfId="0" applyNumberFormat="1" applyFont="1" applyFill="1" applyBorder="1" applyAlignment="1">
      <alignment vertical="center"/>
    </xf>
    <xf numFmtId="4" fontId="29" fillId="5" borderId="17" xfId="0" applyNumberFormat="1" applyFont="1" applyFill="1" applyBorder="1" applyAlignment="1">
      <alignment vertical="center"/>
    </xf>
    <xf numFmtId="4" fontId="29" fillId="3" borderId="17" xfId="0" applyNumberFormat="1" applyFont="1" applyFill="1" applyBorder="1" applyAlignment="1">
      <alignment vertical="center"/>
    </xf>
    <xf numFmtId="168" fontId="24" fillId="7" borderId="0" xfId="0" applyNumberFormat="1" applyFont="1" applyFill="1"/>
    <xf numFmtId="43" fontId="55" fillId="7" borderId="0" xfId="1" applyFont="1" applyFill="1" applyAlignment="1">
      <alignment vertical="center"/>
    </xf>
    <xf numFmtId="39" fontId="23" fillId="0" borderId="0" xfId="5" applyNumberFormat="1" applyFont="1" applyAlignment="1">
      <alignment vertical="center"/>
    </xf>
    <xf numFmtId="39" fontId="21" fillId="0" borderId="0" xfId="5" applyNumberFormat="1" applyFont="1" applyAlignment="1">
      <alignment vertical="center"/>
    </xf>
    <xf numFmtId="4" fontId="57" fillId="0" borderId="0" xfId="0" applyNumberFormat="1" applyFont="1" applyAlignment="1">
      <alignment vertical="center"/>
    </xf>
    <xf numFmtId="39" fontId="23" fillId="7" borderId="0" xfId="5" applyNumberFormat="1" applyFont="1" applyFill="1" applyAlignment="1">
      <alignment vertical="center"/>
    </xf>
    <xf numFmtId="39" fontId="58" fillId="0" borderId="0" xfId="5" applyNumberFormat="1" applyFont="1" applyAlignment="1">
      <alignment vertical="center"/>
    </xf>
    <xf numFmtId="4" fontId="14" fillId="4" borderId="0" xfId="0" applyNumberFormat="1" applyFont="1" applyFill="1" applyAlignment="1">
      <alignment vertical="center"/>
    </xf>
    <xf numFmtId="4" fontId="42" fillId="15" borderId="0" xfId="0" applyNumberFormat="1" applyFont="1" applyFill="1" applyAlignment="1">
      <alignment vertical="center"/>
    </xf>
    <xf numFmtId="4" fontId="42" fillId="0" borderId="0" xfId="0" applyNumberFormat="1" applyFont="1" applyAlignment="1">
      <alignment vertical="center"/>
    </xf>
    <xf numFmtId="0" fontId="33" fillId="9" borderId="12" xfId="6" applyNumberFormat="1" applyFont="1" applyFill="1" applyBorder="1" applyAlignment="1">
      <alignment horizontal="center" vertical="center" wrapText="1"/>
    </xf>
    <xf numFmtId="4" fontId="59" fillId="6" borderId="13" xfId="6" applyNumberFormat="1" applyFont="1" applyFill="1" applyBorder="1" applyAlignment="1">
      <alignment vertical="center"/>
    </xf>
    <xf numFmtId="4" fontId="60" fillId="6" borderId="14" xfId="6" applyNumberFormat="1" applyFont="1" applyFill="1" applyBorder="1" applyAlignment="1">
      <alignment vertical="center"/>
    </xf>
    <xf numFmtId="39" fontId="56" fillId="0" borderId="0" xfId="5" applyNumberFormat="1" applyFont="1" applyAlignment="1">
      <alignment vertical="center"/>
    </xf>
    <xf numFmtId="4" fontId="56" fillId="0" borderId="0" xfId="6" applyNumberFormat="1" applyFont="1" applyAlignment="1">
      <alignment vertical="center"/>
    </xf>
    <xf numFmtId="0" fontId="56" fillId="0" borderId="0" xfId="6" applyFont="1" applyAlignment="1">
      <alignment vertical="center"/>
    </xf>
    <xf numFmtId="0" fontId="59" fillId="6" borderId="15" xfId="6" applyNumberFormat="1" applyFont="1" applyFill="1" applyBorder="1" applyAlignment="1">
      <alignment horizontal="center" vertical="center" wrapText="1"/>
    </xf>
    <xf numFmtId="4" fontId="59" fillId="6" borderId="0" xfId="6" applyNumberFormat="1" applyFont="1" applyFill="1" applyBorder="1" applyAlignment="1">
      <alignment vertical="center" wrapText="1"/>
    </xf>
    <xf numFmtId="4" fontId="59" fillId="6" borderId="0" xfId="6" applyNumberFormat="1" applyFont="1" applyFill="1" applyBorder="1" applyAlignment="1">
      <alignment vertical="center"/>
    </xf>
    <xf numFmtId="4" fontId="60" fillId="6" borderId="16" xfId="6" applyNumberFormat="1" applyFont="1" applyFill="1" applyBorder="1" applyAlignment="1">
      <alignment vertical="center"/>
    </xf>
    <xf numFmtId="0" fontId="56" fillId="6" borderId="0" xfId="0" applyFont="1" applyFill="1"/>
    <xf numFmtId="4" fontId="61" fillId="6" borderId="0" xfId="6" applyNumberFormat="1" applyFont="1" applyFill="1" applyBorder="1" applyAlignment="1">
      <alignment horizontal="left" vertical="center" wrapText="1"/>
    </xf>
    <xf numFmtId="4" fontId="61" fillId="6" borderId="0" xfId="6" applyNumberFormat="1" applyFont="1" applyFill="1" applyBorder="1" applyAlignment="1">
      <alignment vertical="center" wrapText="1"/>
    </xf>
    <xf numFmtId="4" fontId="33" fillId="6" borderId="0" xfId="6" applyNumberFormat="1" applyFont="1" applyFill="1" applyBorder="1" applyAlignment="1">
      <alignment vertical="center"/>
    </xf>
    <xf numFmtId="4" fontId="34" fillId="7" borderId="17" xfId="6" applyNumberFormat="1" applyFont="1" applyFill="1" applyBorder="1" applyAlignment="1">
      <alignment vertical="center"/>
    </xf>
    <xf numFmtId="39" fontId="56" fillId="7" borderId="0" xfId="5" applyNumberFormat="1" applyFont="1" applyFill="1" applyAlignment="1">
      <alignment vertical="center"/>
    </xf>
    <xf numFmtId="0" fontId="59" fillId="6" borderId="20" xfId="6" applyNumberFormat="1" applyFont="1" applyFill="1" applyBorder="1" applyAlignment="1">
      <alignment horizontal="center" vertical="center" wrapText="1"/>
    </xf>
    <xf numFmtId="4" fontId="33" fillId="6" borderId="18" xfId="6" applyNumberFormat="1" applyFont="1" applyFill="1" applyBorder="1" applyAlignment="1">
      <alignment horizontal="right" vertical="center"/>
    </xf>
    <xf numFmtId="4" fontId="33" fillId="6" borderId="18" xfId="6" applyNumberFormat="1" applyFont="1" applyFill="1" applyBorder="1" applyAlignment="1">
      <alignment vertical="center"/>
    </xf>
    <xf numFmtId="4" fontId="59" fillId="6" borderId="18" xfId="6" applyNumberFormat="1" applyFont="1" applyFill="1" applyBorder="1" applyAlignment="1">
      <alignment vertical="center"/>
    </xf>
    <xf numFmtId="4" fontId="34" fillId="0" borderId="21" xfId="6" applyNumberFormat="1" applyFont="1" applyFill="1" applyBorder="1" applyAlignment="1">
      <alignment vertical="center"/>
    </xf>
    <xf numFmtId="0" fontId="19" fillId="0" borderId="12" xfId="0" applyNumberFormat="1" applyFont="1" applyFill="1" applyBorder="1" applyAlignment="1">
      <alignment horizontal="center" vertical="center" wrapText="1"/>
    </xf>
    <xf numFmtId="4" fontId="19" fillId="0" borderId="13" xfId="0" applyNumberFormat="1" applyFont="1" applyFill="1" applyBorder="1" applyAlignment="1">
      <alignment horizontal="center" vertical="center" wrapText="1"/>
    </xf>
    <xf numFmtId="4" fontId="29" fillId="0" borderId="14" xfId="0" applyNumberFormat="1" applyFont="1" applyFill="1" applyBorder="1" applyAlignment="1">
      <alignment horizontal="center" vertical="center" wrapText="1"/>
    </xf>
    <xf numFmtId="4" fontId="22" fillId="0" borderId="0" xfId="0" applyNumberFormat="1" applyFont="1" applyFill="1"/>
    <xf numFmtId="0" fontId="23" fillId="0" borderId="0" xfId="0" applyFont="1" applyFill="1"/>
    <xf numFmtId="0" fontId="0" fillId="0" borderId="0" xfId="0" applyFill="1"/>
    <xf numFmtId="0" fontId="33" fillId="9" borderId="12" xfId="0" applyNumberFormat="1" applyFont="1" applyFill="1" applyBorder="1" applyAlignment="1">
      <alignment horizontal="center" vertical="center" wrapText="1"/>
    </xf>
    <xf numFmtId="4" fontId="59" fillId="6" borderId="13" xfId="0" applyNumberFormat="1" applyFont="1" applyFill="1" applyBorder="1" applyAlignment="1">
      <alignment vertical="center"/>
    </xf>
    <xf numFmtId="4" fontId="60" fillId="6" borderId="14" xfId="0" applyNumberFormat="1" applyFont="1" applyFill="1" applyBorder="1" applyAlignment="1">
      <alignment vertical="center"/>
    </xf>
    <xf numFmtId="0" fontId="59" fillId="6" borderId="15" xfId="0" applyNumberFormat="1" applyFont="1" applyFill="1" applyBorder="1" applyAlignment="1">
      <alignment horizontal="center" vertical="center" wrapText="1"/>
    </xf>
    <xf numFmtId="4" fontId="59" fillId="6" borderId="0" xfId="0" applyNumberFormat="1" applyFont="1" applyFill="1" applyBorder="1" applyAlignment="1">
      <alignment vertical="center" wrapText="1"/>
    </xf>
    <xf numFmtId="4" fontId="59" fillId="6" borderId="0" xfId="0" applyNumberFormat="1" applyFont="1" applyFill="1" applyBorder="1" applyAlignment="1">
      <alignment vertical="center"/>
    </xf>
    <xf numFmtId="4" fontId="60" fillId="6" borderId="16" xfId="0" applyNumberFormat="1" applyFont="1" applyFill="1" applyBorder="1" applyAlignment="1">
      <alignment vertical="center"/>
    </xf>
    <xf numFmtId="4" fontId="33" fillId="6" borderId="0" xfId="0" applyNumberFormat="1" applyFont="1" applyFill="1" applyBorder="1" applyAlignment="1">
      <alignment horizontal="left" vertical="center" wrapText="1"/>
    </xf>
    <xf numFmtId="4" fontId="61" fillId="6" borderId="0" xfId="0" applyNumberFormat="1" applyFont="1" applyFill="1" applyBorder="1" applyAlignment="1">
      <alignment vertical="center" wrapText="1"/>
    </xf>
    <xf numFmtId="4" fontId="61" fillId="6" borderId="0" xfId="0" applyNumberFormat="1" applyFont="1" applyFill="1" applyBorder="1" applyAlignment="1">
      <alignment horizontal="left" vertical="center" wrapText="1"/>
    </xf>
    <xf numFmtId="4" fontId="33" fillId="6" borderId="0" xfId="0" applyNumberFormat="1" applyFont="1" applyFill="1" applyBorder="1" applyAlignment="1">
      <alignment vertical="center"/>
    </xf>
    <xf numFmtId="4" fontId="34" fillId="7" borderId="17" xfId="0" applyNumberFormat="1" applyFont="1" applyFill="1" applyBorder="1" applyAlignment="1">
      <alignment vertical="center"/>
    </xf>
    <xf numFmtId="4" fontId="62" fillId="0" borderId="0" xfId="0" applyNumberFormat="1" applyFont="1" applyAlignment="1">
      <alignment vertical="center"/>
    </xf>
    <xf numFmtId="0" fontId="59" fillId="6" borderId="20" xfId="0" applyNumberFormat="1" applyFont="1" applyFill="1" applyBorder="1" applyAlignment="1">
      <alignment horizontal="center" vertical="center" wrapText="1"/>
    </xf>
    <xf numFmtId="4" fontId="33" fillId="6" borderId="18" xfId="0" applyNumberFormat="1" applyFont="1" applyFill="1" applyBorder="1" applyAlignment="1">
      <alignment horizontal="right" vertical="center"/>
    </xf>
    <xf numFmtId="4" fontId="33" fillId="6" borderId="18" xfId="0" applyNumberFormat="1" applyFont="1" applyFill="1" applyBorder="1" applyAlignment="1">
      <alignment vertical="center"/>
    </xf>
    <xf numFmtId="4" fontId="59" fillId="6" borderId="18" xfId="0" applyNumberFormat="1" applyFont="1" applyFill="1" applyBorder="1" applyAlignment="1">
      <alignment vertical="center"/>
    </xf>
    <xf numFmtId="4" fontId="34" fillId="0" borderId="21" xfId="0" applyNumberFormat="1" applyFont="1" applyFill="1" applyBorder="1" applyAlignment="1">
      <alignment vertical="center"/>
    </xf>
    <xf numFmtId="4" fontId="56" fillId="0" borderId="0" xfId="0" applyNumberFormat="1" applyFont="1" applyAlignment="1">
      <alignment vertical="center"/>
    </xf>
    <xf numFmtId="4" fontId="59" fillId="6" borderId="0" xfId="0" applyNumberFormat="1" applyFont="1" applyFill="1" applyBorder="1" applyAlignment="1">
      <alignment horizontal="left" vertical="center" wrapText="1"/>
    </xf>
    <xf numFmtId="4" fontId="33" fillId="6" borderId="0" xfId="0" applyNumberFormat="1" applyFont="1" applyFill="1" applyBorder="1" applyAlignment="1">
      <alignment horizontal="left" vertical="top" wrapText="1"/>
    </xf>
    <xf numFmtId="4" fontId="22" fillId="9" borderId="0" xfId="0" applyNumberFormat="1" applyFont="1" applyFill="1" applyAlignment="1">
      <alignment vertical="center"/>
    </xf>
    <xf numFmtId="4" fontId="14" fillId="9" borderId="0" xfId="0" applyNumberFormat="1" applyFont="1" applyFill="1" applyAlignment="1">
      <alignment vertical="center"/>
    </xf>
    <xf numFmtId="164" fontId="14" fillId="9" borderId="0" xfId="1" applyNumberFormat="1" applyFont="1" applyFill="1" applyAlignment="1">
      <alignment vertical="center"/>
    </xf>
    <xf numFmtId="4" fontId="22" fillId="0" borderId="0" xfId="0" applyNumberFormat="1" applyFont="1"/>
    <xf numFmtId="4" fontId="23" fillId="0" borderId="0" xfId="0" applyNumberFormat="1" applyFont="1"/>
    <xf numFmtId="4" fontId="24" fillId="0" borderId="0" xfId="0" applyNumberFormat="1" applyFont="1"/>
    <xf numFmtId="0" fontId="6" fillId="16" borderId="0" xfId="0" applyNumberFormat="1" applyFont="1" applyFill="1" applyBorder="1" applyAlignment="1">
      <alignment horizontal="center"/>
    </xf>
    <xf numFmtId="0" fontId="22" fillId="16" borderId="0" xfId="0" applyFont="1" applyFill="1"/>
    <xf numFmtId="3" fontId="23" fillId="16" borderId="0" xfId="0" applyNumberFormat="1" applyFont="1" applyFill="1"/>
    <xf numFmtId="0" fontId="6" fillId="17" borderId="0" xfId="0" applyNumberFormat="1" applyFont="1" applyFill="1" applyBorder="1" applyAlignment="1">
      <alignment horizontal="center"/>
    </xf>
    <xf numFmtId="0" fontId="6" fillId="17" borderId="0" xfId="0" applyNumberFormat="1" applyFont="1" applyFill="1" applyBorder="1" applyAlignment="1">
      <alignment horizontal="left"/>
    </xf>
    <xf numFmtId="0" fontId="22" fillId="17" borderId="0" xfId="0" applyFont="1" applyFill="1"/>
    <xf numFmtId="3" fontId="23" fillId="17" borderId="0" xfId="0" applyNumberFormat="1" applyFont="1" applyFill="1"/>
    <xf numFmtId="0" fontId="6" fillId="9" borderId="32" xfId="0" applyNumberFormat="1" applyFont="1" applyFill="1" applyBorder="1" applyAlignment="1">
      <alignment horizontal="center" vertical="center"/>
    </xf>
    <xf numFmtId="4" fontId="6" fillId="9" borderId="0" xfId="0" applyNumberFormat="1" applyFont="1" applyFill="1" applyBorder="1" applyAlignment="1">
      <alignment vertical="center"/>
    </xf>
    <xf numFmtId="3" fontId="6" fillId="9" borderId="0" xfId="0" applyNumberFormat="1" applyFont="1" applyFill="1" applyBorder="1" applyAlignment="1">
      <alignment vertical="center"/>
    </xf>
    <xf numFmtId="4" fontId="6" fillId="0" borderId="23" xfId="0" applyNumberFormat="1" applyFont="1" applyBorder="1"/>
    <xf numFmtId="4" fontId="6" fillId="0" borderId="0" xfId="0" applyNumberFormat="1" applyFont="1" applyBorder="1" applyAlignment="1">
      <alignment vertical="center"/>
    </xf>
    <xf numFmtId="0" fontId="19" fillId="15" borderId="33" xfId="0" applyNumberFormat="1" applyFont="1" applyFill="1" applyBorder="1" applyAlignment="1">
      <alignment horizontal="center" vertical="center" wrapText="1"/>
    </xf>
    <xf numFmtId="4" fontId="19" fillId="15" borderId="33" xfId="0" applyNumberFormat="1" applyFont="1" applyFill="1" applyBorder="1" applyAlignment="1">
      <alignment horizontal="center" vertical="center" wrapText="1"/>
    </xf>
    <xf numFmtId="3" fontId="29" fillId="15" borderId="34" xfId="0" applyNumberFormat="1" applyFont="1" applyFill="1" applyBorder="1" applyAlignment="1">
      <alignment horizontal="center" vertical="center" wrapText="1"/>
    </xf>
    <xf numFmtId="4" fontId="23" fillId="0" borderId="23" xfId="0" applyNumberFormat="1" applyFont="1" applyBorder="1"/>
    <xf numFmtId="0" fontId="0" fillId="0" borderId="23" xfId="0" applyBorder="1"/>
    <xf numFmtId="4" fontId="24" fillId="0" borderId="23" xfId="0" applyNumberFormat="1" applyFont="1" applyBorder="1"/>
    <xf numFmtId="0" fontId="23" fillId="0" borderId="23" xfId="0" applyFont="1" applyBorder="1"/>
    <xf numFmtId="0" fontId="24" fillId="5" borderId="32" xfId="0" applyNumberFormat="1" applyFont="1" applyFill="1" applyBorder="1" applyAlignment="1">
      <alignment horizontal="center" vertical="center"/>
    </xf>
    <xf numFmtId="4" fontId="24" fillId="5" borderId="0" xfId="0" applyNumberFormat="1" applyFont="1" applyFill="1" applyBorder="1" applyAlignment="1">
      <alignment vertical="center"/>
    </xf>
    <xf numFmtId="4" fontId="24" fillId="6" borderId="0" xfId="0" applyNumberFormat="1" applyFont="1" applyFill="1" applyBorder="1" applyAlignment="1">
      <alignment vertical="center"/>
    </xf>
    <xf numFmtId="3" fontId="24" fillId="6" borderId="0" xfId="0" applyNumberFormat="1" applyFont="1" applyFill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0" fontId="24" fillId="0" borderId="32" xfId="0" applyNumberFormat="1" applyFont="1" applyBorder="1" applyAlignment="1">
      <alignment horizontal="center" vertical="center"/>
    </xf>
    <xf numFmtId="3" fontId="24" fillId="0" borderId="0" xfId="0" applyNumberFormat="1" applyFont="1" applyBorder="1" applyAlignment="1">
      <alignment vertical="center"/>
    </xf>
    <xf numFmtId="4" fontId="22" fillId="6" borderId="0" xfId="0" applyNumberFormat="1" applyFont="1" applyFill="1" applyBorder="1" applyAlignment="1">
      <alignment vertical="center"/>
    </xf>
    <xf numFmtId="3" fontId="24" fillId="5" borderId="17" xfId="0" applyNumberFormat="1" applyFont="1" applyFill="1" applyBorder="1" applyAlignment="1">
      <alignment vertical="center"/>
    </xf>
    <xf numFmtId="4" fontId="24" fillId="5" borderId="0" xfId="0" applyNumberFormat="1" applyFont="1" applyFill="1" applyBorder="1" applyAlignment="1">
      <alignment vertical="center" wrapText="1"/>
    </xf>
    <xf numFmtId="4" fontId="23" fillId="6" borderId="0" xfId="0" applyNumberFormat="1" applyFont="1" applyFill="1" applyBorder="1" applyAlignment="1">
      <alignment vertical="center"/>
    </xf>
    <xf numFmtId="4" fontId="24" fillId="0" borderId="32" xfId="0" applyNumberFormat="1" applyFont="1" applyBorder="1" applyAlignment="1">
      <alignment vertical="center"/>
    </xf>
    <xf numFmtId="3" fontId="24" fillId="5" borderId="0" xfId="0" applyNumberFormat="1" applyFont="1" applyFill="1" applyBorder="1" applyAlignment="1">
      <alignment vertical="center"/>
    </xf>
    <xf numFmtId="4" fontId="24" fillId="6" borderId="32" xfId="0" applyNumberFormat="1" applyFont="1" applyFill="1" applyBorder="1" applyAlignment="1">
      <alignment vertical="center"/>
    </xf>
    <xf numFmtId="0" fontId="24" fillId="9" borderId="32" xfId="0" applyNumberFormat="1" applyFont="1" applyFill="1" applyBorder="1" applyAlignment="1">
      <alignment horizontal="center" vertical="center"/>
    </xf>
    <xf numFmtId="4" fontId="24" fillId="9" borderId="0" xfId="0" applyNumberFormat="1" applyFont="1" applyFill="1" applyBorder="1" applyAlignment="1">
      <alignment vertical="center"/>
    </xf>
    <xf numFmtId="0" fontId="24" fillId="2" borderId="32" xfId="0" applyNumberFormat="1" applyFont="1" applyFill="1" applyBorder="1" applyAlignment="1">
      <alignment horizontal="center" vertical="center"/>
    </xf>
    <xf numFmtId="4" fontId="24" fillId="2" borderId="0" xfId="0" applyNumberFormat="1" applyFont="1" applyFill="1" applyBorder="1" applyAlignment="1">
      <alignment vertical="center"/>
    </xf>
    <xf numFmtId="0" fontId="24" fillId="18" borderId="32" xfId="0" applyNumberFormat="1" applyFont="1" applyFill="1" applyBorder="1" applyAlignment="1">
      <alignment horizontal="center" vertical="center"/>
    </xf>
    <xf numFmtId="4" fontId="24" fillId="18" borderId="0" xfId="0" applyNumberFormat="1" applyFont="1" applyFill="1" applyBorder="1" applyAlignment="1">
      <alignment vertical="center"/>
    </xf>
    <xf numFmtId="0" fontId="24" fillId="6" borderId="32" xfId="0" applyNumberFormat="1" applyFont="1" applyFill="1" applyBorder="1" applyAlignment="1">
      <alignment horizontal="center" vertical="center"/>
    </xf>
    <xf numFmtId="4" fontId="24" fillId="5" borderId="0" xfId="0" applyNumberFormat="1" applyFont="1" applyFill="1" applyBorder="1" applyAlignment="1">
      <alignment horizontal="left" vertical="center" wrapText="1"/>
    </xf>
    <xf numFmtId="4" fontId="24" fillId="6" borderId="0" xfId="0" applyNumberFormat="1" applyFont="1" applyFill="1" applyBorder="1" applyAlignment="1">
      <alignment vertical="center" wrapText="1"/>
    </xf>
    <xf numFmtId="3" fontId="24" fillId="4" borderId="0" xfId="0" applyNumberFormat="1" applyFont="1" applyFill="1" applyBorder="1" applyAlignment="1">
      <alignment vertical="center"/>
    </xf>
    <xf numFmtId="4" fontId="24" fillId="0" borderId="0" xfId="0" applyNumberFormat="1" applyFont="1" applyBorder="1" applyAlignment="1">
      <alignment vertical="center" wrapText="1"/>
    </xf>
    <xf numFmtId="4" fontId="24" fillId="0" borderId="0" xfId="0" applyNumberFormat="1" applyFont="1" applyBorder="1" applyAlignment="1">
      <alignment horizontal="left" vertical="center" wrapText="1"/>
    </xf>
    <xf numFmtId="0" fontId="24" fillId="4" borderId="32" xfId="0" applyNumberFormat="1" applyFont="1" applyFill="1" applyBorder="1" applyAlignment="1">
      <alignment horizontal="center" vertical="center"/>
    </xf>
    <xf numFmtId="4" fontId="24" fillId="4" borderId="0" xfId="0" applyNumberFormat="1" applyFont="1" applyFill="1" applyBorder="1" applyAlignment="1">
      <alignment horizontal="center" vertical="center" wrapText="1"/>
    </xf>
    <xf numFmtId="4" fontId="24" fillId="4" borderId="0" xfId="0" applyNumberFormat="1" applyFont="1" applyFill="1" applyBorder="1" applyAlignment="1">
      <alignment vertical="center"/>
    </xf>
    <xf numFmtId="0" fontId="24" fillId="10" borderId="32" xfId="0" applyNumberFormat="1" applyFont="1" applyFill="1" applyBorder="1" applyAlignment="1">
      <alignment horizontal="center" vertical="center"/>
    </xf>
    <xf numFmtId="4" fontId="24" fillId="10" borderId="0" xfId="0" applyNumberFormat="1" applyFont="1" applyFill="1" applyBorder="1" applyAlignment="1">
      <alignment vertical="center"/>
    </xf>
    <xf numFmtId="3" fontId="24" fillId="10" borderId="17" xfId="0" applyNumberFormat="1" applyFont="1" applyFill="1" applyBorder="1" applyAlignment="1">
      <alignment vertical="center"/>
    </xf>
    <xf numFmtId="4" fontId="22" fillId="10" borderId="0" xfId="0" applyNumberFormat="1" applyFont="1" applyFill="1" applyBorder="1" applyAlignment="1">
      <alignment vertical="center" wrapText="1"/>
    </xf>
    <xf numFmtId="4" fontId="22" fillId="6" borderId="0" xfId="0" applyNumberFormat="1" applyFont="1" applyFill="1" applyBorder="1" applyAlignment="1">
      <alignment vertical="center" wrapText="1"/>
    </xf>
    <xf numFmtId="4" fontId="67" fillId="6" borderId="0" xfId="0" applyNumberFormat="1" applyFont="1" applyFill="1" applyBorder="1" applyAlignment="1">
      <alignment vertical="center" wrapText="1"/>
    </xf>
    <xf numFmtId="3" fontId="24" fillId="4" borderId="17" xfId="0" applyNumberFormat="1" applyFont="1" applyFill="1" applyBorder="1" applyAlignment="1">
      <alignment vertical="center"/>
    </xf>
    <xf numFmtId="3" fontId="57" fillId="5" borderId="0" xfId="0" applyNumberFormat="1" applyFont="1" applyFill="1" applyBorder="1" applyAlignment="1">
      <alignment vertical="center"/>
    </xf>
    <xf numFmtId="4" fontId="29" fillId="6" borderId="0" xfId="0" applyNumberFormat="1" applyFont="1" applyFill="1" applyBorder="1" applyAlignment="1">
      <alignment vertical="center"/>
    </xf>
    <xf numFmtId="4" fontId="68" fillId="6" borderId="0" xfId="0" applyNumberFormat="1" applyFont="1" applyFill="1" applyBorder="1" applyAlignment="1">
      <alignment vertical="center"/>
    </xf>
    <xf numFmtId="4" fontId="24" fillId="10" borderId="0" xfId="0" applyNumberFormat="1" applyFont="1" applyFill="1" applyBorder="1" applyAlignment="1">
      <alignment horizontal="left" vertical="center" wrapText="1"/>
    </xf>
    <xf numFmtId="3" fontId="69" fillId="0" borderId="0" xfId="0" applyNumberFormat="1" applyFont="1" applyBorder="1" applyAlignment="1">
      <alignment vertical="center"/>
    </xf>
    <xf numFmtId="3" fontId="69" fillId="6" borderId="0" xfId="0" applyNumberFormat="1" applyFont="1" applyFill="1" applyBorder="1" applyAlignment="1">
      <alignment vertical="center"/>
    </xf>
    <xf numFmtId="4" fontId="24" fillId="10" borderId="0" xfId="0" applyNumberFormat="1" applyFont="1" applyFill="1" applyBorder="1" applyAlignment="1">
      <alignment vertical="center" wrapText="1"/>
    </xf>
    <xf numFmtId="3" fontId="24" fillId="17" borderId="0" xfId="0" applyNumberFormat="1" applyFont="1" applyFill="1" applyBorder="1" applyAlignment="1">
      <alignment vertical="center"/>
    </xf>
    <xf numFmtId="0" fontId="34" fillId="12" borderId="0" xfId="0" applyNumberFormat="1" applyFont="1" applyFill="1" applyAlignment="1">
      <alignment horizontal="center" vertical="center"/>
    </xf>
    <xf numFmtId="4" fontId="34" fillId="12" borderId="0" xfId="0" applyNumberFormat="1" applyFont="1" applyFill="1" applyAlignment="1">
      <alignment vertical="center"/>
    </xf>
    <xf numFmtId="3" fontId="34" fillId="12" borderId="0" xfId="0" applyNumberFormat="1" applyFont="1" applyFill="1" applyAlignment="1">
      <alignment vertical="center"/>
    </xf>
    <xf numFmtId="4" fontId="34" fillId="0" borderId="0" xfId="0" applyNumberFormat="1" applyFont="1" applyAlignment="1">
      <alignment vertical="center"/>
    </xf>
    <xf numFmtId="0" fontId="42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3" fontId="20" fillId="0" borderId="0" xfId="0" applyNumberFormat="1" applyFont="1" applyFill="1" applyBorder="1" applyAlignment="1">
      <alignment vertical="center"/>
    </xf>
    <xf numFmtId="4" fontId="70" fillId="6" borderId="0" xfId="0" applyNumberFormat="1" applyFont="1" applyFill="1" applyBorder="1" applyAlignment="1">
      <alignment vertical="center"/>
    </xf>
    <xf numFmtId="4" fontId="71" fillId="6" borderId="0" xfId="0" applyNumberFormat="1" applyFont="1" applyFill="1" applyBorder="1" applyAlignment="1">
      <alignment vertical="center"/>
    </xf>
    <xf numFmtId="4" fontId="72" fillId="6" borderId="17" xfId="0" applyNumberFormat="1" applyFont="1" applyFill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5" xfId="0" applyBorder="1"/>
    <xf numFmtId="0" fontId="0" fillId="0" borderId="0" xfId="0" applyBorder="1"/>
    <xf numFmtId="4" fontId="0" fillId="0" borderId="0" xfId="0" applyNumberFormat="1"/>
    <xf numFmtId="0" fontId="0" fillId="0" borderId="16" xfId="0" applyBorder="1"/>
    <xf numFmtId="0" fontId="0" fillId="0" borderId="35" xfId="0" applyBorder="1"/>
    <xf numFmtId="0" fontId="0" fillId="0" borderId="27" xfId="0" applyBorder="1"/>
    <xf numFmtId="4" fontId="33" fillId="6" borderId="27" xfId="0" applyNumberFormat="1" applyFont="1" applyFill="1" applyBorder="1" applyAlignment="1">
      <alignment vertical="center"/>
    </xf>
    <xf numFmtId="0" fontId="42" fillId="0" borderId="27" xfId="0" applyFont="1" applyBorder="1"/>
    <xf numFmtId="0" fontId="42" fillId="0" borderId="36" xfId="0" applyFont="1" applyBorder="1"/>
    <xf numFmtId="4" fontId="42" fillId="0" borderId="17" xfId="0" applyNumberFormat="1" applyFont="1" applyBorder="1" applyAlignment="1">
      <alignment horizontal="center" vertical="center"/>
    </xf>
    <xf numFmtId="169" fontId="23" fillId="6" borderId="0" xfId="2" applyFont="1" applyFill="1"/>
    <xf numFmtId="0" fontId="0" fillId="0" borderId="12" xfId="0" applyBorder="1" applyAlignment="1">
      <alignment horizontal="center"/>
    </xf>
    <xf numFmtId="3" fontId="0" fillId="0" borderId="0" xfId="0" applyNumberFormat="1"/>
    <xf numFmtId="166" fontId="13" fillId="0" borderId="0" xfId="7" applyNumberFormat="1" applyFont="1"/>
    <xf numFmtId="166" fontId="0" fillId="0" borderId="0" xfId="0" applyNumberFormat="1"/>
    <xf numFmtId="0" fontId="0" fillId="0" borderId="20" xfId="0" applyBorder="1"/>
    <xf numFmtId="0" fontId="0" fillId="0" borderId="18" xfId="0" applyBorder="1"/>
    <xf numFmtId="4" fontId="70" fillId="6" borderId="18" xfId="0" applyNumberFormat="1" applyFont="1" applyFill="1" applyBorder="1" applyAlignment="1">
      <alignment vertical="center"/>
    </xf>
    <xf numFmtId="4" fontId="71" fillId="6" borderId="18" xfId="0" applyNumberFormat="1" applyFont="1" applyFill="1" applyBorder="1" applyAlignment="1">
      <alignment vertical="center"/>
    </xf>
    <xf numFmtId="0" fontId="0" fillId="0" borderId="36" xfId="0" applyBorder="1"/>
    <xf numFmtId="4" fontId="70" fillId="9" borderId="35" xfId="0" applyNumberFormat="1" applyFont="1" applyFill="1" applyBorder="1" applyAlignment="1">
      <alignment vertical="center"/>
    </xf>
    <xf numFmtId="4" fontId="71" fillId="9" borderId="27" xfId="0" applyNumberFormat="1" applyFont="1" applyFill="1" applyBorder="1" applyAlignment="1">
      <alignment vertical="center"/>
    </xf>
    <xf numFmtId="4" fontId="70" fillId="9" borderId="27" xfId="0" applyNumberFormat="1" applyFont="1" applyFill="1" applyBorder="1" applyAlignment="1">
      <alignment vertical="center"/>
    </xf>
    <xf numFmtId="4" fontId="72" fillId="9" borderId="36" xfId="0" applyNumberFormat="1" applyFont="1" applyFill="1" applyBorder="1" applyAlignment="1">
      <alignment vertical="center"/>
    </xf>
    <xf numFmtId="0" fontId="0" fillId="0" borderId="12" xfId="0" applyBorder="1"/>
    <xf numFmtId="4" fontId="70" fillId="9" borderId="18" xfId="0" applyNumberFormat="1" applyFont="1" applyFill="1" applyBorder="1" applyAlignment="1">
      <alignment vertical="center"/>
    </xf>
    <xf numFmtId="4" fontId="71" fillId="9" borderId="18" xfId="0" applyNumberFormat="1" applyFont="1" applyFill="1" applyBorder="1" applyAlignment="1">
      <alignment vertical="center"/>
    </xf>
    <xf numFmtId="4" fontId="72" fillId="9" borderId="17" xfId="0" applyNumberFormat="1" applyFont="1" applyFill="1" applyBorder="1" applyAlignment="1">
      <alignment vertical="center"/>
    </xf>
    <xf numFmtId="4" fontId="71" fillId="9" borderId="0" xfId="0" applyNumberFormat="1" applyFont="1" applyFill="1" applyBorder="1" applyAlignment="1">
      <alignment vertical="center"/>
    </xf>
    <xf numFmtId="4" fontId="72" fillId="9" borderId="0" xfId="0" applyNumberFormat="1" applyFont="1" applyFill="1" applyBorder="1" applyAlignment="1">
      <alignment vertical="center"/>
    </xf>
    <xf numFmtId="169" fontId="0" fillId="9" borderId="0" xfId="2" applyFont="1" applyFill="1"/>
    <xf numFmtId="4" fontId="42" fillId="16" borderId="0" xfId="0" applyNumberFormat="1" applyFont="1" applyFill="1" applyAlignment="1">
      <alignment vertical="center"/>
    </xf>
    <xf numFmtId="3" fontId="42" fillId="16" borderId="0" xfId="0" applyNumberFormat="1" applyFont="1" applyFill="1" applyAlignment="1">
      <alignment vertical="center"/>
    </xf>
    <xf numFmtId="0" fontId="0" fillId="0" borderId="3" xfId="0" applyBorder="1" applyAlignment="1">
      <alignment horizontal="center"/>
    </xf>
    <xf numFmtId="0" fontId="73" fillId="0" borderId="3" xfId="0" applyFont="1" applyBorder="1" applyAlignment="1">
      <alignment horizontal="left"/>
    </xf>
    <xf numFmtId="43" fontId="6" fillId="0" borderId="0" xfId="1" applyFont="1"/>
    <xf numFmtId="43" fontId="0" fillId="9" borderId="0" xfId="0" applyNumberFormat="1" applyFill="1"/>
    <xf numFmtId="0" fontId="70" fillId="6" borderId="20" xfId="0" applyNumberFormat="1" applyFont="1" applyFill="1" applyBorder="1" applyAlignment="1">
      <alignment horizontal="center" vertical="center" wrapText="1"/>
    </xf>
    <xf numFmtId="4" fontId="70" fillId="6" borderId="18" xfId="0" applyNumberFormat="1" applyFont="1" applyFill="1" applyBorder="1" applyAlignment="1">
      <alignment horizontal="right" vertical="center"/>
    </xf>
    <xf numFmtId="4" fontId="70" fillId="0" borderId="18" xfId="0" applyNumberFormat="1" applyFont="1" applyFill="1" applyBorder="1" applyAlignment="1">
      <alignment horizontal="right" vertical="center"/>
    </xf>
    <xf numFmtId="4" fontId="70" fillId="0" borderId="18" xfId="0" applyNumberFormat="1" applyFont="1" applyFill="1" applyBorder="1" applyAlignment="1">
      <alignment vertical="center"/>
    </xf>
    <xf numFmtId="4" fontId="72" fillId="0" borderId="16" xfId="0" applyNumberFormat="1" applyFont="1" applyFill="1" applyBorder="1" applyAlignment="1">
      <alignment vertical="center"/>
    </xf>
    <xf numFmtId="168" fontId="6" fillId="0" borderId="0" xfId="0" applyNumberFormat="1" applyFont="1"/>
    <xf numFmtId="4" fontId="6" fillId="0" borderId="0" xfId="0" applyNumberFormat="1" applyFont="1"/>
    <xf numFmtId="4" fontId="33" fillId="16" borderId="0" xfId="0" applyNumberFormat="1" applyFont="1" applyFill="1" applyBorder="1" applyAlignment="1">
      <alignment horizontal="left"/>
    </xf>
    <xf numFmtId="4" fontId="34" fillId="16" borderId="2" xfId="0" applyNumberFormat="1" applyFont="1" applyFill="1" applyBorder="1" applyAlignment="1">
      <alignment horizontal="left"/>
    </xf>
    <xf numFmtId="168" fontId="42" fillId="6" borderId="0" xfId="0" applyNumberFormat="1" applyFont="1" applyFill="1" applyAlignment="1">
      <alignment horizontal="left"/>
    </xf>
    <xf numFmtId="4" fontId="42" fillId="0" borderId="0" xfId="0" applyNumberFormat="1" applyFont="1" applyAlignment="1">
      <alignment horizontal="left"/>
    </xf>
    <xf numFmtId="0" fontId="42" fillId="0" borderId="0" xfId="0" applyFont="1" applyAlignment="1">
      <alignment horizontal="left"/>
    </xf>
    <xf numFmtId="0" fontId="54" fillId="19" borderId="0" xfId="0" applyFont="1" applyFill="1" applyBorder="1"/>
    <xf numFmtId="0" fontId="74" fillId="6" borderId="0" xfId="0" applyFont="1" applyFill="1" applyBorder="1"/>
    <xf numFmtId="0" fontId="74" fillId="19" borderId="0" xfId="0" applyFont="1" applyFill="1" applyBorder="1"/>
    <xf numFmtId="43" fontId="74" fillId="6" borderId="0" xfId="1" applyFont="1" applyFill="1" applyBorder="1"/>
    <xf numFmtId="43" fontId="74" fillId="6" borderId="0" xfId="0" applyNumberFormat="1" applyFont="1" applyFill="1" applyBorder="1"/>
    <xf numFmtId="0" fontId="54" fillId="6" borderId="17" xfId="0" applyFont="1" applyFill="1" applyBorder="1" applyAlignment="1">
      <alignment horizontal="center" vertical="center"/>
    </xf>
    <xf numFmtId="0" fontId="54" fillId="12" borderId="17" xfId="0" applyFont="1" applyFill="1" applyBorder="1" applyAlignment="1">
      <alignment wrapText="1"/>
    </xf>
    <xf numFmtId="0" fontId="75" fillId="0" borderId="0" xfId="0" applyFont="1" applyBorder="1"/>
    <xf numFmtId="0" fontId="75" fillId="6" borderId="0" xfId="0" applyFont="1" applyFill="1" applyBorder="1"/>
    <xf numFmtId="0" fontId="54" fillId="6" borderId="0" xfId="0" applyFont="1" applyFill="1" applyBorder="1"/>
    <xf numFmtId="0" fontId="53" fillId="0" borderId="0" xfId="0" applyFont="1" applyBorder="1"/>
    <xf numFmtId="4" fontId="68" fillId="6" borderId="16" xfId="0" applyNumberFormat="1" applyFont="1" applyFill="1" applyBorder="1" applyAlignment="1">
      <alignment vertical="center"/>
    </xf>
    <xf numFmtId="0" fontId="53" fillId="2" borderId="0" xfId="0" applyFont="1" applyFill="1" applyBorder="1"/>
    <xf numFmtId="0" fontId="53" fillId="6" borderId="0" xfId="0" applyFont="1" applyFill="1" applyBorder="1"/>
    <xf numFmtId="4" fontId="20" fillId="6" borderId="0" xfId="6" applyNumberFormat="1" applyFont="1" applyFill="1" applyBorder="1" applyAlignment="1">
      <alignment vertical="center"/>
    </xf>
    <xf numFmtId="43" fontId="76" fillId="9" borderId="0" xfId="1" applyFont="1" applyFill="1" applyBorder="1"/>
    <xf numFmtId="0" fontId="77" fillId="6" borderId="17" xfId="0" applyFont="1" applyFill="1" applyBorder="1" applyAlignment="1">
      <alignment horizontal="center" vertical="center"/>
    </xf>
    <xf numFmtId="0" fontId="19" fillId="20" borderId="17" xfId="0" applyFont="1" applyFill="1" applyBorder="1" applyAlignment="1">
      <alignment wrapText="1"/>
    </xf>
    <xf numFmtId="0" fontId="78" fillId="6" borderId="0" xfId="0" applyFont="1" applyFill="1" applyBorder="1"/>
    <xf numFmtId="0" fontId="77" fillId="6" borderId="0" xfId="0" applyFont="1" applyFill="1" applyBorder="1"/>
    <xf numFmtId="0" fontId="79" fillId="6" borderId="0" xfId="0" applyFont="1" applyFill="1" applyBorder="1"/>
    <xf numFmtId="43" fontId="78" fillId="6" borderId="0" xfId="0" applyNumberFormat="1" applyFont="1" applyFill="1" applyBorder="1"/>
    <xf numFmtId="0" fontId="79" fillId="0" borderId="0" xfId="0" applyFont="1" applyBorder="1"/>
    <xf numFmtId="0" fontId="78" fillId="0" borderId="0" xfId="0" applyFont="1" applyBorder="1"/>
    <xf numFmtId="0" fontId="79" fillId="6" borderId="15" xfId="0" applyNumberFormat="1" applyFont="1" applyFill="1" applyBorder="1" applyAlignment="1">
      <alignment horizontal="center" vertical="center" wrapText="1"/>
    </xf>
    <xf numFmtId="4" fontId="80" fillId="6" borderId="0" xfId="0" applyNumberFormat="1" applyFont="1" applyFill="1" applyBorder="1" applyAlignment="1">
      <alignment horizontal="left" vertical="center" wrapText="1"/>
    </xf>
    <xf numFmtId="4" fontId="29" fillId="12" borderId="17" xfId="0" applyNumberFormat="1" applyFont="1" applyFill="1" applyBorder="1" applyAlignment="1">
      <alignment vertical="center"/>
    </xf>
    <xf numFmtId="43" fontId="81" fillId="9" borderId="0" xfId="1" applyFont="1" applyFill="1" applyBorder="1"/>
    <xf numFmtId="164" fontId="53" fillId="6" borderId="0" xfId="1" applyNumberFormat="1" applyFont="1" applyFill="1" applyBorder="1"/>
    <xf numFmtId="0" fontId="82" fillId="12" borderId="37" xfId="0" applyFont="1" applyFill="1" applyBorder="1" applyAlignment="1">
      <alignment vertical="center"/>
    </xf>
    <xf numFmtId="0" fontId="82" fillId="12" borderId="12" xfId="0" applyFont="1" applyFill="1" applyBorder="1" applyAlignment="1">
      <alignment vertical="center"/>
    </xf>
    <xf numFmtId="0" fontId="54" fillId="0" borderId="13" xfId="0" applyFont="1" applyBorder="1" applyAlignment="1">
      <alignment vertical="center"/>
    </xf>
    <xf numFmtId="169" fontId="54" fillId="6" borderId="14" xfId="0" applyNumberFormat="1" applyFont="1" applyFill="1" applyBorder="1" applyAlignment="1">
      <alignment vertical="center"/>
    </xf>
    <xf numFmtId="169" fontId="83" fillId="0" borderId="0" xfId="0" applyNumberFormat="1" applyFont="1" applyBorder="1" applyAlignment="1">
      <alignment vertical="center"/>
    </xf>
    <xf numFmtId="0" fontId="83" fillId="0" borderId="0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0" fontId="54" fillId="6" borderId="15" xfId="0" applyFont="1" applyFill="1" applyBorder="1" applyAlignment="1">
      <alignment horizontal="center" vertical="center"/>
    </xf>
    <xf numFmtId="43" fontId="84" fillId="0" borderId="0" xfId="1" applyNumberFormat="1" applyFont="1" applyBorder="1" applyAlignment="1">
      <alignment horizontal="left" vertical="center" wrapText="1"/>
    </xf>
    <xf numFmtId="0" fontId="54" fillId="0" borderId="0" xfId="0" applyFont="1" applyBorder="1" applyAlignment="1">
      <alignment horizontal="center" vertical="center"/>
    </xf>
    <xf numFmtId="43" fontId="6" fillId="0" borderId="38" xfId="1" applyNumberFormat="1" applyFont="1" applyBorder="1"/>
    <xf numFmtId="169" fontId="55" fillId="0" borderId="0" xfId="0" applyNumberFormat="1" applyFont="1" applyBorder="1" applyAlignment="1">
      <alignment vertical="center"/>
    </xf>
    <xf numFmtId="169" fontId="55" fillId="6" borderId="0" xfId="0" applyNumberFormat="1" applyFont="1" applyFill="1" applyBorder="1" applyAlignment="1">
      <alignment vertical="center"/>
    </xf>
    <xf numFmtId="0" fontId="53" fillId="0" borderId="20" xfId="0" applyFont="1" applyBorder="1"/>
    <xf numFmtId="0" fontId="53" fillId="0" borderId="18" xfId="0" applyFont="1" applyBorder="1"/>
    <xf numFmtId="169" fontId="53" fillId="6" borderId="21" xfId="0" applyNumberFormat="1" applyFont="1" applyFill="1" applyBorder="1"/>
    <xf numFmtId="169" fontId="33" fillId="9" borderId="0" xfId="0" applyNumberFormat="1" applyFont="1" applyFill="1" applyBorder="1"/>
    <xf numFmtId="0" fontId="24" fillId="0" borderId="0" xfId="0" applyNumberFormat="1" applyFont="1" applyAlignment="1">
      <alignment horizontal="center" vertical="center"/>
    </xf>
    <xf numFmtId="3" fontId="35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0" fontId="22" fillId="21" borderId="0" xfId="0" applyFont="1" applyFill="1"/>
    <xf numFmtId="3" fontId="23" fillId="21" borderId="0" xfId="0" applyNumberFormat="1" applyFont="1" applyFill="1"/>
    <xf numFmtId="0" fontId="86" fillId="0" borderId="0" xfId="0" applyNumberFormat="1" applyFont="1" applyAlignment="1">
      <alignment horizontal="center" vertical="center"/>
    </xf>
    <xf numFmtId="4" fontId="86" fillId="0" borderId="0" xfId="0" applyNumberFormat="1" applyFont="1" applyAlignment="1">
      <alignment vertical="center"/>
    </xf>
    <xf numFmtId="3" fontId="87" fillId="9" borderId="0" xfId="0" applyNumberFormat="1" applyFont="1" applyFill="1" applyAlignment="1">
      <alignment vertical="center"/>
    </xf>
    <xf numFmtId="164" fontId="87" fillId="9" borderId="0" xfId="1" applyNumberFormat="1" applyFont="1" applyFill="1" applyAlignment="1">
      <alignment vertical="center"/>
    </xf>
    <xf numFmtId="0" fontId="56" fillId="0" borderId="0" xfId="0" applyFont="1"/>
    <xf numFmtId="0" fontId="42" fillId="0" borderId="0" xfId="0" applyFont="1"/>
    <xf numFmtId="4" fontId="42" fillId="0" borderId="0" xfId="0" applyNumberFormat="1" applyFont="1"/>
    <xf numFmtId="0" fontId="87" fillId="0" borderId="0" xfId="0" applyFont="1" applyAlignment="1">
      <alignment vertical="center"/>
    </xf>
    <xf numFmtId="0" fontId="87" fillId="6" borderId="0" xfId="0" applyFont="1" applyFill="1" applyAlignment="1">
      <alignment vertical="center"/>
    </xf>
    <xf numFmtId="165" fontId="87" fillId="6" borderId="0" xfId="0" applyNumberFormat="1" applyFont="1" applyFill="1" applyAlignment="1">
      <alignment vertical="center"/>
    </xf>
    <xf numFmtId="4" fontId="87" fillId="0" borderId="0" xfId="0" applyNumberFormat="1" applyFont="1" applyAlignment="1">
      <alignment vertical="center"/>
    </xf>
    <xf numFmtId="4" fontId="42" fillId="9" borderId="0" xfId="0" applyNumberFormat="1" applyFont="1" applyFill="1" applyAlignment="1">
      <alignment vertical="center"/>
    </xf>
    <xf numFmtId="4" fontId="42" fillId="9" borderId="0" xfId="0" applyNumberFormat="1" applyFont="1" applyFill="1" applyAlignment="1">
      <alignment horizontal="center" vertical="center"/>
    </xf>
    <xf numFmtId="4" fontId="33" fillId="6" borderId="0" xfId="0" applyNumberFormat="1" applyFont="1" applyFill="1" applyBorder="1" applyAlignment="1">
      <alignment horizontal="right" vertical="center"/>
    </xf>
    <xf numFmtId="4" fontId="34" fillId="6" borderId="16" xfId="0" applyNumberFormat="1" applyFont="1" applyFill="1" applyBorder="1" applyAlignment="1">
      <alignment vertical="center"/>
    </xf>
    <xf numFmtId="0" fontId="56" fillId="0" borderId="0" xfId="0" applyFont="1" applyAlignment="1">
      <alignment vertical="center"/>
    </xf>
    <xf numFmtId="0" fontId="33" fillId="15" borderId="39" xfId="0" applyNumberFormat="1" applyFont="1" applyFill="1" applyBorder="1" applyAlignment="1">
      <alignment horizontal="center" vertical="center" wrapText="1"/>
    </xf>
    <xf numFmtId="4" fontId="33" fillId="15" borderId="40" xfId="0" applyNumberFormat="1" applyFont="1" applyFill="1" applyBorder="1" applyAlignment="1">
      <alignment horizontal="center" vertical="center" wrapText="1"/>
    </xf>
    <xf numFmtId="4" fontId="34" fillId="6" borderId="41" xfId="0" applyNumberFormat="1" applyFont="1" applyFill="1" applyBorder="1" applyAlignment="1">
      <alignment horizontal="center" vertical="center" wrapText="1"/>
    </xf>
    <xf numFmtId="0" fontId="59" fillId="19" borderId="15" xfId="0" applyNumberFormat="1" applyFont="1" applyFill="1" applyBorder="1" applyAlignment="1">
      <alignment horizontal="center" vertical="center" wrapText="1"/>
    </xf>
    <xf numFmtId="0" fontId="56" fillId="19" borderId="0" xfId="0" applyFont="1" applyFill="1" applyAlignment="1">
      <alignment vertical="center" wrapText="1"/>
    </xf>
    <xf numFmtId="3" fontId="60" fillId="6" borderId="0" xfId="0" applyNumberFormat="1" applyFont="1" applyFill="1" applyBorder="1" applyAlignment="1">
      <alignment vertical="center"/>
    </xf>
    <xf numFmtId="0" fontId="56" fillId="6" borderId="0" xfId="0" applyFont="1" applyFill="1" applyAlignment="1">
      <alignment vertical="center"/>
    </xf>
    <xf numFmtId="0" fontId="56" fillId="0" borderId="0" xfId="0" applyFont="1" applyAlignment="1">
      <alignment vertical="center" wrapText="1"/>
    </xf>
    <xf numFmtId="168" fontId="56" fillId="6" borderId="0" xfId="0" applyNumberFormat="1" applyFont="1" applyFill="1"/>
    <xf numFmtId="0" fontId="60" fillId="0" borderId="0" xfId="0" applyFont="1" applyAlignment="1">
      <alignment vertical="center"/>
    </xf>
    <xf numFmtId="0" fontId="59" fillId="10" borderId="15" xfId="0" applyNumberFormat="1" applyFont="1" applyFill="1" applyBorder="1" applyAlignment="1">
      <alignment horizontal="center" vertical="center" wrapText="1"/>
    </xf>
    <xf numFmtId="0" fontId="56" fillId="10" borderId="0" xfId="0" applyFont="1" applyFill="1" applyAlignment="1">
      <alignment vertical="center"/>
    </xf>
    <xf numFmtId="4" fontId="59" fillId="10" borderId="0" xfId="0" applyNumberFormat="1" applyFont="1" applyFill="1" applyBorder="1" applyAlignment="1">
      <alignment vertical="center"/>
    </xf>
    <xf numFmtId="4" fontId="34" fillId="10" borderId="42" xfId="0" applyNumberFormat="1" applyFont="1" applyFill="1" applyBorder="1" applyAlignment="1">
      <alignment vertical="center"/>
    </xf>
    <xf numFmtId="4" fontId="56" fillId="6" borderId="0" xfId="0" applyNumberFormat="1" applyFont="1" applyFill="1" applyAlignment="1">
      <alignment vertical="center"/>
    </xf>
    <xf numFmtId="0" fontId="56" fillId="19" borderId="3" xfId="0" applyFont="1" applyFill="1" applyBorder="1" applyAlignment="1">
      <alignment vertical="center" wrapText="1"/>
    </xf>
    <xf numFmtId="4" fontId="60" fillId="6" borderId="0" xfId="0" applyNumberFormat="1" applyFont="1" applyFill="1" applyBorder="1" applyAlignment="1">
      <alignment vertical="center"/>
    </xf>
    <xf numFmtId="4" fontId="34" fillId="6" borderId="0" xfId="0" applyNumberFormat="1" applyFont="1" applyFill="1" applyAlignment="1">
      <alignment vertical="center"/>
    </xf>
    <xf numFmtId="0" fontId="60" fillId="6" borderId="0" xfId="0" applyFont="1" applyFill="1" applyAlignment="1">
      <alignment vertical="center"/>
    </xf>
    <xf numFmtId="0" fontId="59" fillId="10" borderId="0" xfId="0" applyNumberFormat="1" applyFont="1" applyFill="1" applyBorder="1" applyAlignment="1">
      <alignment horizontal="center" vertical="center" wrapText="1"/>
    </xf>
    <xf numFmtId="0" fontId="56" fillId="10" borderId="0" xfId="0" applyFont="1" applyFill="1" applyBorder="1" applyAlignment="1">
      <alignment vertical="center" wrapText="1"/>
    </xf>
    <xf numFmtId="4" fontId="60" fillId="10" borderId="43" xfId="0" applyNumberFormat="1" applyFont="1" applyFill="1" applyBorder="1" applyAlignment="1">
      <alignment vertical="center"/>
    </xf>
    <xf numFmtId="4" fontId="34" fillId="6" borderId="0" xfId="0" applyNumberFormat="1" applyFont="1" applyFill="1" applyBorder="1" applyAlignment="1">
      <alignment vertical="center"/>
    </xf>
    <xf numFmtId="0" fontId="60" fillId="6" borderId="0" xfId="0" applyFont="1" applyFill="1" applyBorder="1" applyAlignment="1">
      <alignment vertical="center"/>
    </xf>
    <xf numFmtId="0" fontId="56" fillId="19" borderId="1" xfId="0" applyFont="1" applyFill="1" applyBorder="1" applyAlignment="1">
      <alignment vertical="center" wrapText="1"/>
    </xf>
    <xf numFmtId="4" fontId="60" fillId="10" borderId="0" xfId="0" applyNumberFormat="1" applyFont="1" applyFill="1" applyBorder="1" applyAlignment="1">
      <alignment vertical="center"/>
    </xf>
    <xf numFmtId="0" fontId="59" fillId="19" borderId="0" xfId="0" applyNumberFormat="1" applyFont="1" applyFill="1" applyBorder="1" applyAlignment="1">
      <alignment horizontal="center" vertical="center" wrapText="1"/>
    </xf>
    <xf numFmtId="0" fontId="56" fillId="19" borderId="0" xfId="0" applyFont="1" applyFill="1" applyBorder="1" applyAlignment="1">
      <alignment vertical="center" wrapText="1"/>
    </xf>
    <xf numFmtId="0" fontId="59" fillId="6" borderId="0" xfId="0" applyNumberFormat="1" applyFont="1" applyFill="1" applyBorder="1" applyAlignment="1">
      <alignment horizontal="center" vertical="center" wrapText="1"/>
    </xf>
    <xf numFmtId="0" fontId="56" fillId="6" borderId="0" xfId="0" applyFont="1" applyFill="1" applyBorder="1" applyAlignment="1">
      <alignment vertical="center" wrapText="1"/>
    </xf>
    <xf numFmtId="4" fontId="60" fillId="10" borderId="17" xfId="0" applyNumberFormat="1" applyFont="1" applyFill="1" applyBorder="1" applyAlignment="1">
      <alignment vertical="center"/>
    </xf>
    <xf numFmtId="0" fontId="59" fillId="4" borderId="0" xfId="0" applyNumberFormat="1" applyFont="1" applyFill="1" applyBorder="1" applyAlignment="1">
      <alignment horizontal="center" vertical="center" wrapText="1"/>
    </xf>
    <xf numFmtId="0" fontId="56" fillId="4" borderId="0" xfId="0" applyFont="1" applyFill="1" applyBorder="1" applyAlignment="1">
      <alignment vertical="center" wrapText="1"/>
    </xf>
    <xf numFmtId="4" fontId="59" fillId="4" borderId="0" xfId="0" applyNumberFormat="1" applyFont="1" applyFill="1" applyBorder="1" applyAlignment="1">
      <alignment vertical="center"/>
    </xf>
    <xf numFmtId="4" fontId="60" fillId="4" borderId="17" xfId="0" applyNumberFormat="1" applyFont="1" applyFill="1" applyBorder="1" applyAlignment="1">
      <alignment vertical="center"/>
    </xf>
    <xf numFmtId="4" fontId="60" fillId="10" borderId="44" xfId="0" applyNumberFormat="1" applyFont="1" applyFill="1" applyBorder="1" applyAlignment="1">
      <alignment vertical="center"/>
    </xf>
    <xf numFmtId="0" fontId="56" fillId="19" borderId="0" xfId="0" applyFont="1" applyFill="1" applyAlignment="1">
      <alignment horizontal="left" vertical="center" wrapText="1"/>
    </xf>
    <xf numFmtId="4" fontId="34" fillId="10" borderId="0" xfId="0" applyNumberFormat="1" applyFont="1" applyFill="1" applyBorder="1" applyAlignment="1">
      <alignment vertical="center"/>
    </xf>
    <xf numFmtId="0" fontId="56" fillId="4" borderId="0" xfId="0" applyFont="1" applyFill="1" applyAlignment="1">
      <alignment vertical="center"/>
    </xf>
    <xf numFmtId="4" fontId="34" fillId="4" borderId="0" xfId="0" applyNumberFormat="1" applyFont="1" applyFill="1" applyBorder="1" applyAlignment="1">
      <alignment vertical="center"/>
    </xf>
    <xf numFmtId="0" fontId="59" fillId="5" borderId="0" xfId="0" applyNumberFormat="1" applyFont="1" applyFill="1" applyBorder="1" applyAlignment="1">
      <alignment horizontal="center" vertical="center" wrapText="1"/>
    </xf>
    <xf numFmtId="0" fontId="56" fillId="5" borderId="0" xfId="0" applyFont="1" applyFill="1" applyAlignment="1">
      <alignment vertical="center"/>
    </xf>
    <xf numFmtId="4" fontId="59" fillId="5" borderId="0" xfId="0" applyNumberFormat="1" applyFont="1" applyFill="1" applyBorder="1" applyAlignment="1">
      <alignment vertical="center"/>
    </xf>
    <xf numFmtId="4" fontId="34" fillId="5" borderId="0" xfId="0" applyNumberFormat="1" applyFont="1" applyFill="1" applyBorder="1" applyAlignment="1">
      <alignment vertical="center"/>
    </xf>
    <xf numFmtId="0" fontId="56" fillId="5" borderId="0" xfId="0" applyFont="1" applyFill="1" applyBorder="1" applyAlignment="1">
      <alignment vertical="center" wrapText="1"/>
    </xf>
    <xf numFmtId="4" fontId="60" fillId="5" borderId="0" xfId="0" applyNumberFormat="1" applyFont="1" applyFill="1" applyBorder="1" applyAlignment="1">
      <alignment vertical="center"/>
    </xf>
    <xf numFmtId="4" fontId="73" fillId="5" borderId="17" xfId="0" applyNumberFormat="1" applyFont="1" applyFill="1" applyBorder="1" applyAlignment="1">
      <alignment vertical="center"/>
    </xf>
    <xf numFmtId="0" fontId="56" fillId="9" borderId="0" xfId="0" applyFont="1" applyFill="1" applyBorder="1"/>
    <xf numFmtId="0" fontId="56" fillId="4" borderId="0" xfId="0" applyFont="1" applyFill="1" applyBorder="1"/>
    <xf numFmtId="0" fontId="88" fillId="4" borderId="0" xfId="0" applyFont="1" applyFill="1" applyBorder="1" applyAlignment="1">
      <alignment horizontal="center" vertical="center"/>
    </xf>
    <xf numFmtId="4" fontId="87" fillId="4" borderId="17" xfId="0" applyNumberFormat="1" applyFont="1" applyFill="1" applyBorder="1" applyAlignment="1">
      <alignment vertical="center"/>
    </xf>
    <xf numFmtId="43" fontId="87" fillId="4" borderId="0" xfId="1" applyFont="1" applyFill="1" applyBorder="1" applyAlignment="1">
      <alignment vertical="center"/>
    </xf>
    <xf numFmtId="43" fontId="56" fillId="0" borderId="0" xfId="1" applyFont="1" applyBorder="1"/>
    <xf numFmtId="0" fontId="56" fillId="0" borderId="0" xfId="0" applyFont="1" applyBorder="1"/>
    <xf numFmtId="0" fontId="33" fillId="6" borderId="0" xfId="0" applyNumberFormat="1" applyFont="1" applyFill="1" applyBorder="1" applyAlignment="1">
      <alignment horizontal="center" vertical="center" wrapText="1"/>
    </xf>
    <xf numFmtId="4" fontId="33" fillId="6" borderId="0" xfId="0" applyNumberFormat="1" applyFont="1" applyFill="1" applyBorder="1" applyAlignment="1">
      <alignment horizontal="center" vertical="center" wrapText="1"/>
    </xf>
    <xf numFmtId="4" fontId="34" fillId="6" borderId="0" xfId="0" applyNumberFormat="1" applyFont="1" applyFill="1" applyBorder="1" applyAlignment="1">
      <alignment horizontal="center" vertical="center" wrapText="1"/>
    </xf>
    <xf numFmtId="4" fontId="42" fillId="6" borderId="0" xfId="0" applyNumberFormat="1" applyFont="1" applyFill="1"/>
    <xf numFmtId="4" fontId="82" fillId="6" borderId="0" xfId="0" applyNumberFormat="1" applyFont="1" applyFill="1" applyAlignment="1">
      <alignment vertical="center"/>
    </xf>
    <xf numFmtId="4" fontId="82" fillId="0" borderId="0" xfId="0" applyNumberFormat="1" applyFont="1" applyAlignment="1">
      <alignment vertical="center"/>
    </xf>
    <xf numFmtId="4" fontId="89" fillId="19" borderId="0" xfId="0" applyNumberFormat="1" applyFont="1" applyFill="1" applyAlignment="1">
      <alignment horizontal="center" vertical="center"/>
    </xf>
    <xf numFmtId="4" fontId="89" fillId="0" borderId="0" xfId="0" applyNumberFormat="1" applyFont="1" applyAlignment="1">
      <alignment vertical="center"/>
    </xf>
    <xf numFmtId="4" fontId="75" fillId="0" borderId="0" xfId="0" applyNumberFormat="1" applyFont="1" applyAlignment="1">
      <alignment vertical="center"/>
    </xf>
    <xf numFmtId="4" fontId="75" fillId="19" borderId="0" xfId="0" applyNumberFormat="1" applyFont="1" applyFill="1" applyAlignment="1">
      <alignment vertical="center"/>
    </xf>
    <xf numFmtId="4" fontId="89" fillId="6" borderId="0" xfId="0" applyNumberFormat="1" applyFont="1" applyFill="1" applyAlignment="1">
      <alignment vertical="center"/>
    </xf>
    <xf numFmtId="4" fontId="75" fillId="6" borderId="0" xfId="0" applyNumberFormat="1" applyFont="1" applyFill="1" applyAlignment="1">
      <alignment vertical="center"/>
    </xf>
    <xf numFmtId="0" fontId="90" fillId="6" borderId="12" xfId="0" applyNumberFormat="1" applyFont="1" applyFill="1" applyBorder="1" applyAlignment="1">
      <alignment horizontal="center" vertical="center" wrapText="1"/>
    </xf>
    <xf numFmtId="0" fontId="76" fillId="3" borderId="3" xfId="0" applyFont="1" applyFill="1" applyBorder="1" applyAlignment="1">
      <alignment vertical="center" wrapText="1"/>
    </xf>
    <xf numFmtId="4" fontId="81" fillId="6" borderId="13" xfId="0" applyNumberFormat="1" applyFont="1" applyFill="1" applyBorder="1" applyAlignment="1">
      <alignment vertical="center"/>
    </xf>
    <xf numFmtId="4" fontId="81" fillId="6" borderId="14" xfId="0" applyNumberFormat="1" applyFont="1" applyFill="1" applyBorder="1" applyAlignment="1">
      <alignment vertical="center"/>
    </xf>
    <xf numFmtId="4" fontId="82" fillId="0" borderId="0" xfId="0" applyNumberFormat="1" applyFont="1" applyFill="1" applyAlignment="1">
      <alignment vertical="center"/>
    </xf>
    <xf numFmtId="4" fontId="76" fillId="6" borderId="0" xfId="0" applyNumberFormat="1" applyFont="1" applyFill="1" applyAlignment="1">
      <alignment vertical="center"/>
    </xf>
    <xf numFmtId="0" fontId="76" fillId="6" borderId="0" xfId="0" applyFont="1" applyFill="1" applyAlignment="1">
      <alignment vertical="center"/>
    </xf>
    <xf numFmtId="0" fontId="81" fillId="6" borderId="15" xfId="0" applyNumberFormat="1" applyFont="1" applyFill="1" applyBorder="1" applyAlignment="1">
      <alignment horizontal="center" vertical="center" wrapText="1"/>
    </xf>
    <xf numFmtId="4" fontId="91" fillId="6" borderId="0" xfId="0" applyNumberFormat="1" applyFont="1" applyFill="1" applyBorder="1" applyAlignment="1">
      <alignment horizontal="left" vertical="center" wrapText="1"/>
    </xf>
    <xf numFmtId="4" fontId="81" fillId="6" borderId="0" xfId="0" applyNumberFormat="1" applyFont="1" applyFill="1" applyBorder="1" applyAlignment="1">
      <alignment vertical="center"/>
    </xf>
    <xf numFmtId="4" fontId="81" fillId="6" borderId="16" xfId="0" applyNumberFormat="1" applyFont="1" applyFill="1" applyBorder="1" applyAlignment="1">
      <alignment vertical="center"/>
    </xf>
    <xf numFmtId="4" fontId="90" fillId="6" borderId="0" xfId="0" applyNumberFormat="1" applyFont="1" applyFill="1" applyBorder="1" applyAlignment="1">
      <alignment vertical="top" wrapText="1"/>
    </xf>
    <xf numFmtId="4" fontId="81" fillId="6" borderId="0" xfId="0" applyNumberFormat="1" applyFont="1" applyFill="1" applyBorder="1" applyAlignment="1">
      <alignment vertical="center" wrapText="1"/>
    </xf>
    <xf numFmtId="4" fontId="90" fillId="0" borderId="0" xfId="0" applyNumberFormat="1" applyFont="1" applyFill="1" applyAlignment="1">
      <alignment vertical="center"/>
    </xf>
    <xf numFmtId="4" fontId="81" fillId="6" borderId="0" xfId="0" applyNumberFormat="1" applyFont="1" applyFill="1" applyAlignment="1">
      <alignment vertical="center"/>
    </xf>
    <xf numFmtId="0" fontId="81" fillId="6" borderId="0" xfId="0" applyFont="1" applyFill="1" applyAlignment="1">
      <alignment vertical="center"/>
    </xf>
    <xf numFmtId="4" fontId="91" fillId="6" borderId="0" xfId="0" applyNumberFormat="1" applyFont="1" applyFill="1" applyBorder="1" applyAlignment="1">
      <alignment vertical="center" wrapText="1"/>
    </xf>
    <xf numFmtId="4" fontId="90" fillId="6" borderId="0" xfId="0" applyNumberFormat="1" applyFont="1" applyFill="1" applyBorder="1" applyAlignment="1">
      <alignment vertical="center"/>
    </xf>
    <xf numFmtId="4" fontId="90" fillId="22" borderId="17" xfId="0" applyNumberFormat="1" applyFont="1" applyFill="1" applyBorder="1" applyAlignment="1">
      <alignment vertical="center"/>
    </xf>
    <xf numFmtId="43" fontId="82" fillId="6" borderId="0" xfId="1" applyFont="1" applyFill="1" applyAlignment="1">
      <alignment vertical="center"/>
    </xf>
    <xf numFmtId="0" fontId="76" fillId="23" borderId="3" xfId="0" applyFont="1" applyFill="1" applyBorder="1" applyAlignment="1">
      <alignment vertical="center" wrapText="1"/>
    </xf>
    <xf numFmtId="4" fontId="81" fillId="6" borderId="0" xfId="0" applyNumberFormat="1" applyFont="1" applyFill="1" applyBorder="1" applyAlignment="1">
      <alignment horizontal="left" vertical="center" wrapText="1"/>
    </xf>
    <xf numFmtId="4" fontId="92" fillId="6" borderId="0" xfId="0" applyNumberFormat="1" applyFont="1" applyFill="1" applyBorder="1" applyAlignment="1">
      <alignment vertical="center"/>
    </xf>
    <xf numFmtId="4" fontId="81" fillId="0" borderId="16" xfId="0" applyNumberFormat="1" applyFont="1" applyFill="1" applyBorder="1" applyAlignment="1">
      <alignment vertical="center"/>
    </xf>
    <xf numFmtId="4" fontId="93" fillId="6" borderId="16" xfId="0" applyNumberFormat="1" applyFont="1" applyFill="1" applyBorder="1" applyAlignment="1">
      <alignment vertical="center"/>
    </xf>
    <xf numFmtId="4" fontId="90" fillId="23" borderId="17" xfId="0" applyNumberFormat="1" applyFont="1" applyFill="1" applyBorder="1" applyAlignment="1">
      <alignment vertical="center"/>
    </xf>
    <xf numFmtId="4" fontId="76" fillId="0" borderId="0" xfId="0" applyNumberFormat="1" applyFont="1" applyAlignment="1">
      <alignment vertical="center"/>
    </xf>
    <xf numFmtId="0" fontId="76" fillId="0" borderId="0" xfId="0" applyFont="1" applyAlignment="1">
      <alignment vertical="center"/>
    </xf>
    <xf numFmtId="4" fontId="90" fillId="24" borderId="13" xfId="0" applyNumberFormat="1" applyFont="1" applyFill="1" applyBorder="1" applyAlignment="1">
      <alignment vertical="top" wrapText="1"/>
    </xf>
    <xf numFmtId="4" fontId="81" fillId="5" borderId="0" xfId="0" applyNumberFormat="1" applyFont="1" applyFill="1" applyBorder="1" applyAlignment="1">
      <alignment vertical="center"/>
    </xf>
    <xf numFmtId="4" fontId="90" fillId="0" borderId="16" xfId="0" applyNumberFormat="1" applyFont="1" applyFill="1" applyBorder="1" applyAlignment="1">
      <alignment vertical="center"/>
    </xf>
    <xf numFmtId="4" fontId="90" fillId="6" borderId="16" xfId="0" applyNumberFormat="1" applyFont="1" applyFill="1" applyBorder="1" applyAlignment="1">
      <alignment vertical="center"/>
    </xf>
    <xf numFmtId="4" fontId="81" fillId="9" borderId="13" xfId="0" applyNumberFormat="1" applyFont="1" applyFill="1" applyBorder="1" applyAlignment="1">
      <alignment vertical="center"/>
    </xf>
    <xf numFmtId="4" fontId="81" fillId="9" borderId="0" xfId="0" applyNumberFormat="1" applyFont="1" applyFill="1" applyBorder="1" applyAlignment="1">
      <alignment vertical="center"/>
    </xf>
    <xf numFmtId="4" fontId="81" fillId="9" borderId="0" xfId="0" applyNumberFormat="1" applyFont="1" applyFill="1" applyBorder="1" applyAlignment="1">
      <alignment vertical="center" wrapText="1"/>
    </xf>
    <xf numFmtId="4" fontId="90" fillId="9" borderId="0" xfId="0" applyNumberFormat="1" applyFont="1" applyFill="1" applyBorder="1" applyAlignment="1">
      <alignment vertical="center"/>
    </xf>
    <xf numFmtId="4" fontId="90" fillId="6" borderId="0" xfId="0" applyNumberFormat="1" applyFont="1" applyFill="1" applyAlignment="1">
      <alignment vertical="center"/>
    </xf>
    <xf numFmtId="4" fontId="90" fillId="6" borderId="17" xfId="0" applyNumberFormat="1" applyFont="1" applyFill="1" applyBorder="1" applyAlignment="1">
      <alignment vertical="center"/>
    </xf>
    <xf numFmtId="0" fontId="81" fillId="6" borderId="20" xfId="0" applyNumberFormat="1" applyFont="1" applyFill="1" applyBorder="1" applyAlignment="1">
      <alignment horizontal="center" vertical="center" wrapText="1"/>
    </xf>
    <xf numFmtId="4" fontId="90" fillId="6" borderId="18" xfId="0" applyNumberFormat="1" applyFont="1" applyFill="1" applyBorder="1" applyAlignment="1">
      <alignment horizontal="right" vertical="center"/>
    </xf>
    <xf numFmtId="4" fontId="90" fillId="6" borderId="18" xfId="0" applyNumberFormat="1" applyFont="1" applyFill="1" applyBorder="1" applyAlignment="1">
      <alignment vertical="center"/>
    </xf>
    <xf numFmtId="4" fontId="81" fillId="6" borderId="18" xfId="0" applyNumberFormat="1" applyFont="1" applyFill="1" applyBorder="1" applyAlignment="1">
      <alignment vertical="center"/>
    </xf>
    <xf numFmtId="4" fontId="90" fillId="0" borderId="21" xfId="0" applyNumberFormat="1" applyFont="1" applyFill="1" applyBorder="1" applyAlignment="1">
      <alignment vertical="center"/>
    </xf>
    <xf numFmtId="4" fontId="81" fillId="0" borderId="13" xfId="0" applyNumberFormat="1" applyFont="1" applyFill="1" applyBorder="1" applyAlignment="1">
      <alignment vertical="center"/>
    </xf>
    <xf numFmtId="4" fontId="76" fillId="9" borderId="0" xfId="0" applyNumberFormat="1" applyFont="1" applyFill="1" applyAlignment="1">
      <alignment vertical="center"/>
    </xf>
    <xf numFmtId="166" fontId="90" fillId="25" borderId="19" xfId="1" applyNumberFormat="1" applyFont="1" applyFill="1" applyBorder="1" applyAlignment="1">
      <alignment vertical="center"/>
    </xf>
    <xf numFmtId="166" fontId="81" fillId="0" borderId="0" xfId="1" applyNumberFormat="1" applyFont="1" applyFill="1" applyBorder="1" applyAlignment="1">
      <alignment horizontal="center" vertical="center"/>
    </xf>
    <xf numFmtId="166" fontId="81" fillId="0" borderId="0" xfId="1" applyNumberFormat="1" applyFont="1" applyFill="1" applyBorder="1" applyAlignment="1">
      <alignment vertical="center"/>
    </xf>
    <xf numFmtId="4" fontId="90" fillId="12" borderId="22" xfId="0" applyNumberFormat="1" applyFont="1" applyFill="1" applyBorder="1" applyAlignment="1">
      <alignment vertical="center"/>
    </xf>
    <xf numFmtId="4" fontId="90" fillId="6" borderId="44" xfId="0" applyNumberFormat="1" applyFont="1" applyFill="1" applyBorder="1" applyAlignment="1">
      <alignment vertical="center"/>
    </xf>
    <xf numFmtId="171" fontId="94" fillId="0" borderId="23" xfId="0" applyNumberFormat="1" applyFont="1" applyFill="1" applyBorder="1" applyAlignment="1">
      <alignment horizontal="center" vertical="center"/>
    </xf>
    <xf numFmtId="4" fontId="95" fillId="22" borderId="23" xfId="0" applyNumberFormat="1" applyFont="1" applyFill="1" applyBorder="1" applyAlignment="1">
      <alignment vertical="center"/>
    </xf>
    <xf numFmtId="166" fontId="95" fillId="6" borderId="23" xfId="1" applyNumberFormat="1" applyFont="1" applyFill="1" applyBorder="1" applyAlignment="1">
      <alignment horizontal="left" vertical="center" wrapText="1"/>
    </xf>
    <xf numFmtId="166" fontId="81" fillId="6" borderId="0" xfId="1" applyNumberFormat="1" applyFont="1" applyFill="1" applyBorder="1" applyAlignment="1">
      <alignment vertical="center"/>
    </xf>
    <xf numFmtId="166" fontId="81" fillId="6" borderId="0" xfId="1" applyNumberFormat="1" applyFont="1" applyFill="1" applyBorder="1" applyAlignment="1">
      <alignment horizontal="center" vertical="center"/>
    </xf>
    <xf numFmtId="4" fontId="94" fillId="0" borderId="0" xfId="0" applyNumberFormat="1" applyFont="1" applyFill="1" applyAlignment="1">
      <alignment vertical="center"/>
    </xf>
    <xf numFmtId="4" fontId="95" fillId="0" borderId="0" xfId="0" applyNumberFormat="1" applyFont="1" applyFill="1" applyAlignment="1">
      <alignment vertical="center"/>
    </xf>
    <xf numFmtId="4" fontId="76" fillId="0" borderId="0" xfId="0" applyNumberFormat="1" applyFont="1" applyBorder="1" applyAlignment="1">
      <alignment vertical="center"/>
    </xf>
    <xf numFmtId="166" fontId="81" fillId="6" borderId="0" xfId="1" applyNumberFormat="1" applyFont="1" applyFill="1" applyBorder="1" applyAlignment="1">
      <alignment horizontal="left" vertical="center" wrapText="1"/>
    </xf>
    <xf numFmtId="167" fontId="81" fillId="6" borderId="0" xfId="1" applyNumberFormat="1" applyFont="1" applyFill="1" applyBorder="1" applyAlignment="1">
      <alignment vertical="center"/>
    </xf>
    <xf numFmtId="4" fontId="76" fillId="6" borderId="0" xfId="0" applyNumberFormat="1" applyFont="1" applyFill="1" applyBorder="1" applyAlignment="1">
      <alignment vertical="center"/>
    </xf>
    <xf numFmtId="3" fontId="82" fillId="0" borderId="0" xfId="0" applyNumberFormat="1" applyFont="1" applyFill="1" applyAlignment="1">
      <alignment horizontal="center" vertical="center"/>
    </xf>
    <xf numFmtId="166" fontId="90" fillId="22" borderId="23" xfId="1" applyNumberFormat="1" applyFont="1" applyFill="1" applyBorder="1" applyAlignment="1">
      <alignment horizontal="left" vertical="center"/>
    </xf>
    <xf numFmtId="166" fontId="81" fillId="0" borderId="23" xfId="1" applyNumberFormat="1" applyFont="1" applyFill="1" applyBorder="1" applyAlignment="1">
      <alignment horizontal="left" vertical="center"/>
    </xf>
    <xf numFmtId="166" fontId="81" fillId="0" borderId="23" xfId="1" applyNumberFormat="1" applyFont="1" applyFill="1" applyBorder="1" applyAlignment="1">
      <alignment vertical="center"/>
    </xf>
    <xf numFmtId="166" fontId="81" fillId="0" borderId="23" xfId="1" applyNumberFormat="1" applyFont="1" applyFill="1" applyBorder="1" applyAlignment="1">
      <alignment horizontal="center" vertical="center"/>
    </xf>
    <xf numFmtId="4" fontId="76" fillId="0" borderId="0" xfId="0" applyNumberFormat="1" applyFont="1" applyFill="1" applyAlignment="1">
      <alignment vertical="center"/>
    </xf>
    <xf numFmtId="166" fontId="90" fillId="6" borderId="0" xfId="1" applyNumberFormat="1" applyFont="1" applyFill="1" applyBorder="1" applyAlignment="1">
      <alignment horizontal="left" vertical="center" wrapText="1"/>
    </xf>
    <xf numFmtId="166" fontId="90" fillId="6" borderId="0" xfId="1" applyNumberFormat="1" applyFont="1" applyFill="1" applyBorder="1" applyAlignment="1">
      <alignment horizontal="left" vertical="center"/>
    </xf>
    <xf numFmtId="166" fontId="90" fillId="6" borderId="0" xfId="1" applyNumberFormat="1" applyFont="1" applyFill="1" applyBorder="1" applyAlignment="1">
      <alignment vertical="center"/>
    </xf>
    <xf numFmtId="166" fontId="81" fillId="6" borderId="0" xfId="1" applyNumberFormat="1" applyFont="1" applyFill="1" applyBorder="1" applyAlignment="1">
      <alignment horizontal="left" vertical="center"/>
    </xf>
    <xf numFmtId="4" fontId="93" fillId="6" borderId="0" xfId="0" applyNumberFormat="1" applyFont="1" applyFill="1" applyAlignment="1">
      <alignment vertical="center"/>
    </xf>
    <xf numFmtId="166" fontId="96" fillId="6" borderId="0" xfId="1" applyNumberFormat="1" applyFont="1" applyFill="1" applyBorder="1" applyAlignment="1">
      <alignment horizontal="left" vertical="center"/>
    </xf>
    <xf numFmtId="4" fontId="96" fillId="6" borderId="0" xfId="0" applyNumberFormat="1" applyFont="1" applyFill="1" applyBorder="1" applyAlignment="1">
      <alignment vertical="center"/>
    </xf>
    <xf numFmtId="3" fontId="76" fillId="0" borderId="23" xfId="0" applyNumberFormat="1" applyFont="1" applyFill="1" applyBorder="1" applyAlignment="1">
      <alignment horizontal="center" vertical="center"/>
    </xf>
    <xf numFmtId="4" fontId="76" fillId="22" borderId="23" xfId="0" applyNumberFormat="1" applyFont="1" applyFill="1" applyBorder="1" applyAlignment="1">
      <alignment vertical="center" wrapText="1"/>
    </xf>
    <xf numFmtId="166" fontId="81" fillId="0" borderId="0" xfId="0" applyNumberFormat="1" applyFont="1" applyFill="1" applyBorder="1" applyAlignment="1">
      <alignment vertical="center"/>
    </xf>
    <xf numFmtId="4" fontId="90" fillId="23" borderId="22" xfId="0" applyNumberFormat="1" applyFont="1" applyFill="1" applyBorder="1" applyAlignment="1">
      <alignment vertical="center"/>
    </xf>
    <xf numFmtId="3" fontId="76" fillId="0" borderId="0" xfId="0" applyNumberFormat="1" applyFont="1" applyAlignment="1">
      <alignment horizontal="center" vertical="center"/>
    </xf>
    <xf numFmtId="4" fontId="82" fillId="22" borderId="23" xfId="0" applyNumberFormat="1" applyFont="1" applyFill="1" applyBorder="1" applyAlignment="1">
      <alignment vertical="center"/>
    </xf>
    <xf numFmtId="166" fontId="90" fillId="0" borderId="23" xfId="1" applyNumberFormat="1" applyFont="1" applyFill="1" applyBorder="1" applyAlignment="1">
      <alignment vertical="center"/>
    </xf>
    <xf numFmtId="166" fontId="81" fillId="0" borderId="0" xfId="1" applyNumberFormat="1" applyFont="1" applyFill="1" applyBorder="1" applyAlignment="1">
      <alignment horizontal="left" vertical="center"/>
    </xf>
    <xf numFmtId="166" fontId="90" fillId="0" borderId="0" xfId="1" applyNumberFormat="1" applyFont="1" applyFill="1" applyBorder="1" applyAlignment="1">
      <alignment vertical="center"/>
    </xf>
    <xf numFmtId="0" fontId="76" fillId="0" borderId="0" xfId="0" applyFont="1" applyBorder="1"/>
    <xf numFmtId="166" fontId="76" fillId="0" borderId="0" xfId="1" applyNumberFormat="1" applyFont="1" applyBorder="1"/>
    <xf numFmtId="166" fontId="90" fillId="4" borderId="3" xfId="0" applyNumberFormat="1" applyFont="1" applyFill="1" applyBorder="1" applyAlignment="1">
      <alignment vertical="center"/>
    </xf>
    <xf numFmtId="166" fontId="96" fillId="9" borderId="3" xfId="0" applyNumberFormat="1" applyFont="1" applyFill="1" applyBorder="1" applyAlignment="1">
      <alignment vertical="center"/>
    </xf>
    <xf numFmtId="166" fontId="90" fillId="0" borderId="3" xfId="0" applyNumberFormat="1" applyFont="1" applyFill="1" applyBorder="1" applyAlignment="1">
      <alignment vertical="center"/>
    </xf>
    <xf numFmtId="166" fontId="90" fillId="0" borderId="3" xfId="1" applyNumberFormat="1" applyFont="1" applyFill="1" applyBorder="1" applyAlignment="1">
      <alignment vertical="center"/>
    </xf>
    <xf numFmtId="43" fontId="76" fillId="0" borderId="0" xfId="1" applyFont="1" applyFill="1"/>
    <xf numFmtId="0" fontId="76" fillId="0" borderId="0" xfId="0" applyFont="1"/>
    <xf numFmtId="0" fontId="90" fillId="19" borderId="23" xfId="0" applyFont="1" applyFill="1" applyBorder="1" applyAlignment="1">
      <alignment vertical="center"/>
    </xf>
    <xf numFmtId="0" fontId="90" fillId="0" borderId="23" xfId="0" applyFont="1" applyFill="1" applyBorder="1" applyAlignment="1">
      <alignment vertical="center"/>
    </xf>
    <xf numFmtId="0" fontId="90" fillId="26" borderId="0" xfId="0" applyFont="1" applyFill="1" applyBorder="1" applyAlignment="1">
      <alignment horizontal="center" vertical="center"/>
    </xf>
    <xf numFmtId="0" fontId="42" fillId="26" borderId="0" xfId="0" applyFont="1" applyFill="1" applyBorder="1" applyAlignment="1">
      <alignment horizontal="left" vertical="center"/>
    </xf>
    <xf numFmtId="0" fontId="90" fillId="26" borderId="0" xfId="0" applyFont="1" applyFill="1" applyBorder="1" applyAlignment="1">
      <alignment vertical="center"/>
    </xf>
    <xf numFmtId="43" fontId="6" fillId="26" borderId="3" xfId="1" applyFont="1" applyFill="1" applyBorder="1" applyAlignment="1">
      <alignment horizontal="right"/>
    </xf>
    <xf numFmtId="43" fontId="90" fillId="9" borderId="0" xfId="0" applyNumberFormat="1" applyFont="1" applyFill="1" applyBorder="1" applyAlignment="1">
      <alignment vertical="center"/>
    </xf>
    <xf numFmtId="0" fontId="90" fillId="6" borderId="0" xfId="0" applyFont="1" applyFill="1" applyBorder="1" applyAlignment="1">
      <alignment vertical="center"/>
    </xf>
    <xf numFmtId="0" fontId="90" fillId="0" borderId="0" xfId="0" applyFont="1" applyFill="1" applyBorder="1" applyAlignment="1">
      <alignment vertical="center"/>
    </xf>
    <xf numFmtId="0" fontId="74" fillId="0" borderId="0" xfId="0" applyFont="1" applyBorder="1"/>
    <xf numFmtId="4" fontId="97" fillId="6" borderId="14" xfId="0" applyNumberFormat="1" applyFont="1" applyFill="1" applyBorder="1" applyAlignment="1">
      <alignment vertical="center"/>
    </xf>
    <xf numFmtId="0" fontId="86" fillId="0" borderId="0" xfId="0" applyFont="1" applyAlignment="1">
      <alignment vertical="center"/>
    </xf>
    <xf numFmtId="4" fontId="97" fillId="6" borderId="16" xfId="0" applyNumberFormat="1" applyFont="1" applyFill="1" applyBorder="1" applyAlignment="1">
      <alignment vertical="center"/>
    </xf>
    <xf numFmtId="4" fontId="98" fillId="0" borderId="0" xfId="0" applyNumberFormat="1" applyFont="1" applyAlignment="1">
      <alignment vertical="center"/>
    </xf>
    <xf numFmtId="4" fontId="73" fillId="0" borderId="0" xfId="0" applyNumberFormat="1" applyFont="1" applyAlignment="1">
      <alignment vertical="center"/>
    </xf>
    <xf numFmtId="4" fontId="97" fillId="0" borderId="0" xfId="0" applyNumberFormat="1" applyFont="1" applyAlignment="1">
      <alignment vertical="center"/>
    </xf>
    <xf numFmtId="0" fontId="97" fillId="0" borderId="0" xfId="0" applyFont="1" applyAlignment="1">
      <alignment vertical="center"/>
    </xf>
    <xf numFmtId="4" fontId="73" fillId="6" borderId="17" xfId="0" applyNumberFormat="1" applyFont="1" applyFill="1" applyBorder="1" applyAlignment="1">
      <alignment vertical="center"/>
    </xf>
    <xf numFmtId="4" fontId="87" fillId="9" borderId="0" xfId="0" applyNumberFormat="1" applyFont="1" applyFill="1" applyAlignment="1">
      <alignment vertical="center"/>
    </xf>
    <xf numFmtId="0" fontId="87" fillId="9" borderId="23" xfId="0" applyNumberFormat="1" applyFont="1" applyFill="1" applyBorder="1" applyAlignment="1">
      <alignment vertical="center"/>
    </xf>
    <xf numFmtId="0" fontId="87" fillId="6" borderId="0" xfId="0" applyNumberFormat="1" applyFont="1" applyFill="1" applyBorder="1" applyAlignment="1">
      <alignment vertical="center"/>
    </xf>
    <xf numFmtId="43" fontId="99" fillId="0" borderId="0" xfId="1" applyNumberFormat="1" applyFont="1" applyBorder="1" applyAlignment="1">
      <alignment horizontal="left" vertical="center" wrapText="1"/>
    </xf>
    <xf numFmtId="43" fontId="87" fillId="0" borderId="0" xfId="1" applyFont="1" applyBorder="1" applyAlignment="1">
      <alignment horizontal="right"/>
    </xf>
    <xf numFmtId="4" fontId="87" fillId="6" borderId="0" xfId="0" applyNumberFormat="1" applyFont="1" applyFill="1" applyAlignment="1">
      <alignment vertical="center"/>
    </xf>
    <xf numFmtId="4" fontId="86" fillId="6" borderId="0" xfId="0" applyNumberFormat="1" applyFont="1" applyFill="1" applyAlignment="1">
      <alignment vertical="center"/>
    </xf>
    <xf numFmtId="0" fontId="86" fillId="0" borderId="31" xfId="0" applyNumberFormat="1" applyFont="1" applyBorder="1" applyAlignment="1">
      <alignment horizontal="center" vertical="center"/>
    </xf>
    <xf numFmtId="171" fontId="86" fillId="0" borderId="31" xfId="0" applyNumberFormat="1" applyFont="1" applyBorder="1" applyAlignment="1">
      <alignment vertical="center"/>
    </xf>
    <xf numFmtId="4" fontId="100" fillId="0" borderId="31" xfId="0" applyNumberFormat="1" applyFont="1" applyBorder="1" applyAlignment="1">
      <alignment vertical="center"/>
    </xf>
    <xf numFmtId="4" fontId="86" fillId="0" borderId="31" xfId="0" applyNumberFormat="1" applyFont="1" applyBorder="1" applyAlignment="1">
      <alignment vertical="center"/>
    </xf>
    <xf numFmtId="43" fontId="87" fillId="0" borderId="31" xfId="1" applyFont="1" applyBorder="1" applyAlignment="1">
      <alignment vertical="center"/>
    </xf>
    <xf numFmtId="0" fontId="101" fillId="0" borderId="0" xfId="0" applyFont="1" applyBorder="1"/>
    <xf numFmtId="0" fontId="85" fillId="5" borderId="0" xfId="0" applyFont="1" applyFill="1" applyBorder="1"/>
    <xf numFmtId="43" fontId="85" fillId="5" borderId="0" xfId="0" applyNumberFormat="1" applyFont="1" applyFill="1" applyBorder="1"/>
    <xf numFmtId="43" fontId="85" fillId="9" borderId="0" xfId="1" applyFont="1" applyFill="1" applyBorder="1"/>
    <xf numFmtId="0" fontId="85" fillId="6" borderId="3" xfId="0" applyFont="1" applyFill="1" applyBorder="1"/>
    <xf numFmtId="4" fontId="75" fillId="6" borderId="0" xfId="0" applyNumberFormat="1" applyFont="1" applyFill="1" applyBorder="1"/>
    <xf numFmtId="4" fontId="75" fillId="0" borderId="0" xfId="0" applyNumberFormat="1" applyFont="1" applyBorder="1"/>
    <xf numFmtId="169" fontId="74" fillId="4" borderId="0" xfId="0" applyNumberFormat="1" applyFont="1" applyFill="1" applyBorder="1"/>
    <xf numFmtId="4" fontId="74" fillId="0" borderId="0" xfId="0" applyNumberFormat="1" applyFont="1" applyBorder="1"/>
    <xf numFmtId="0" fontId="83" fillId="0" borderId="0" xfId="0" applyFont="1" applyBorder="1"/>
    <xf numFmtId="0" fontId="74" fillId="0" borderId="0" xfId="0" applyFont="1" applyBorder="1" applyAlignment="1">
      <alignment wrapText="1"/>
    </xf>
    <xf numFmtId="0" fontId="56" fillId="6" borderId="0" xfId="0" applyFont="1" applyFill="1" applyBorder="1"/>
    <xf numFmtId="0" fontId="42" fillId="21" borderId="0" xfId="0" applyFont="1" applyFill="1"/>
    <xf numFmtId="165" fontId="56" fillId="21" borderId="0" xfId="0" applyNumberFormat="1" applyFont="1" applyFill="1"/>
    <xf numFmtId="164" fontId="85" fillId="5" borderId="3" xfId="1" applyNumberFormat="1" applyFont="1" applyFill="1" applyBorder="1"/>
    <xf numFmtId="166" fontId="76" fillId="6" borderId="0" xfId="1" applyNumberFormat="1" applyFont="1" applyFill="1" applyBorder="1" applyAlignment="1">
      <alignment horizontal="center" vertical="center"/>
    </xf>
    <xf numFmtId="166" fontId="76" fillId="6" borderId="0" xfId="1" applyNumberFormat="1" applyFont="1" applyFill="1" applyBorder="1" applyAlignment="1">
      <alignment vertical="center"/>
    </xf>
    <xf numFmtId="0" fontId="15" fillId="27" borderId="0" xfId="0" applyFont="1" applyFill="1" applyAlignment="1">
      <alignment vertical="center"/>
    </xf>
    <xf numFmtId="165" fontId="15" fillId="27" borderId="0" xfId="0" applyNumberFormat="1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8" fontId="1" fillId="2" borderId="3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4" fontId="19" fillId="13" borderId="13" xfId="0" applyNumberFormat="1" applyFont="1" applyFill="1" applyBorder="1" applyAlignment="1">
      <alignment horizontal="left" vertical="center" wrapText="1"/>
    </xf>
    <xf numFmtId="4" fontId="19" fillId="13" borderId="0" xfId="0" applyNumberFormat="1" applyFont="1" applyFill="1" applyBorder="1" applyAlignment="1">
      <alignment horizontal="left" vertical="center" wrapText="1"/>
    </xf>
    <xf numFmtId="4" fontId="33" fillId="4" borderId="0" xfId="0" applyNumberFormat="1" applyFont="1" applyFill="1" applyBorder="1" applyAlignment="1">
      <alignment horizontal="left" vertical="center" wrapText="1"/>
    </xf>
    <xf numFmtId="4" fontId="45" fillId="4" borderId="0" xfId="0" applyNumberFormat="1" applyFont="1" applyFill="1" applyAlignment="1">
      <alignment horizontal="left" vertical="center"/>
    </xf>
    <xf numFmtId="4" fontId="45" fillId="4" borderId="0" xfId="0" applyNumberFormat="1" applyFont="1" applyFill="1" applyAlignment="1">
      <alignment horizontal="center" vertical="center"/>
    </xf>
    <xf numFmtId="4" fontId="45" fillId="4" borderId="18" xfId="0" applyNumberFormat="1" applyFont="1" applyFill="1" applyBorder="1" applyAlignment="1">
      <alignment horizontal="center" vertical="center"/>
    </xf>
    <xf numFmtId="4" fontId="45" fillId="4" borderId="18" xfId="0" applyNumberFormat="1" applyFont="1" applyFill="1" applyBorder="1" applyAlignment="1">
      <alignment horizontal="left" vertical="center"/>
    </xf>
    <xf numFmtId="4" fontId="19" fillId="13" borderId="13" xfId="0" applyNumberFormat="1" applyFont="1" applyFill="1" applyBorder="1" applyAlignment="1">
      <alignment horizontal="left" vertical="top" wrapText="1"/>
    </xf>
    <xf numFmtId="4" fontId="19" fillId="13" borderId="0" xfId="0" applyNumberFormat="1" applyFont="1" applyFill="1" applyBorder="1" applyAlignment="1">
      <alignment horizontal="left" vertical="top" wrapText="1"/>
    </xf>
    <xf numFmtId="4" fontId="24" fillId="0" borderId="27" xfId="0" applyNumberFormat="1" applyFont="1" applyFill="1" applyBorder="1" applyAlignment="1">
      <alignment horizontal="center" vertical="center"/>
    </xf>
    <xf numFmtId="4" fontId="33" fillId="13" borderId="13" xfId="0" applyNumberFormat="1" applyFont="1" applyFill="1" applyBorder="1" applyAlignment="1">
      <alignment horizontal="left" vertical="top" wrapText="1"/>
    </xf>
    <xf numFmtId="4" fontId="33" fillId="13" borderId="0" xfId="0" applyNumberFormat="1" applyFont="1" applyFill="1" applyBorder="1" applyAlignment="1">
      <alignment horizontal="left" vertical="top" wrapText="1"/>
    </xf>
    <xf numFmtId="4" fontId="33" fillId="13" borderId="13" xfId="6" applyNumberFormat="1" applyFont="1" applyFill="1" applyBorder="1" applyAlignment="1">
      <alignment horizontal="left" vertical="center" wrapText="1"/>
    </xf>
    <xf numFmtId="4" fontId="33" fillId="13" borderId="0" xfId="6" applyNumberFormat="1" applyFont="1" applyFill="1" applyBorder="1" applyAlignment="1">
      <alignment horizontal="left" vertical="center" wrapText="1"/>
    </xf>
    <xf numFmtId="4" fontId="33" fillId="13" borderId="13" xfId="0" applyNumberFormat="1" applyFont="1" applyFill="1" applyBorder="1" applyAlignment="1">
      <alignment horizontal="left" vertical="center" wrapText="1"/>
    </xf>
    <xf numFmtId="4" fontId="33" fillId="13" borderId="0" xfId="0" applyNumberFormat="1" applyFont="1" applyFill="1" applyBorder="1" applyAlignment="1">
      <alignment horizontal="left" vertical="center" wrapText="1"/>
    </xf>
    <xf numFmtId="0" fontId="23" fillId="5" borderId="13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0" fontId="6" fillId="0" borderId="31" xfId="0" applyNumberFormat="1" applyFont="1" applyBorder="1" applyAlignment="1">
      <alignment horizontal="center" vertical="center"/>
    </xf>
    <xf numFmtId="0" fontId="6" fillId="16" borderId="23" xfId="0" applyNumberFormat="1" applyFont="1" applyFill="1" applyBorder="1" applyAlignment="1">
      <alignment horizontal="left"/>
    </xf>
    <xf numFmtId="4" fontId="35" fillId="5" borderId="0" xfId="0" applyNumberFormat="1" applyFont="1" applyFill="1" applyBorder="1" applyAlignment="1">
      <alignment horizontal="center" vertical="center"/>
    </xf>
    <xf numFmtId="4" fontId="19" fillId="5" borderId="13" xfId="0" applyNumberFormat="1" applyFont="1" applyFill="1" applyBorder="1" applyAlignment="1">
      <alignment horizontal="left" vertical="center" wrapText="1"/>
    </xf>
    <xf numFmtId="4" fontId="19" fillId="5" borderId="0" xfId="0" applyNumberFormat="1" applyFont="1" applyFill="1" applyBorder="1" applyAlignment="1">
      <alignment horizontal="left" vertical="center" wrapText="1"/>
    </xf>
    <xf numFmtId="4" fontId="28" fillId="6" borderId="0" xfId="0" applyNumberFormat="1" applyFont="1" applyFill="1" applyBorder="1" applyAlignment="1">
      <alignment horizontal="left" vertical="center" wrapText="1"/>
    </xf>
    <xf numFmtId="0" fontId="54" fillId="0" borderId="13" xfId="0" applyFont="1" applyBorder="1" applyAlignment="1">
      <alignment horizontal="center" vertical="center"/>
    </xf>
    <xf numFmtId="0" fontId="23" fillId="5" borderId="13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42" fillId="16" borderId="18" xfId="0" applyNumberFormat="1" applyFont="1" applyFill="1" applyBorder="1" applyAlignment="1">
      <alignment horizontal="left" vertical="center"/>
    </xf>
    <xf numFmtId="0" fontId="42" fillId="0" borderId="32" xfId="0" applyFont="1" applyBorder="1" applyAlignment="1">
      <alignment horizontal="left" vertical="center"/>
    </xf>
    <xf numFmtId="0" fontId="42" fillId="0" borderId="0" xfId="0" applyFont="1" applyBorder="1" applyAlignment="1">
      <alignment horizontal="left" vertical="center"/>
    </xf>
    <xf numFmtId="0" fontId="33" fillId="16" borderId="13" xfId="0" applyNumberFormat="1" applyFont="1" applyFill="1" applyBorder="1" applyAlignment="1">
      <alignment horizontal="left" wrapText="1"/>
    </xf>
    <xf numFmtId="0" fontId="74" fillId="4" borderId="0" xfId="0" applyFont="1" applyFill="1" applyBorder="1" applyAlignment="1">
      <alignment horizontal="center"/>
    </xf>
    <xf numFmtId="4" fontId="82" fillId="0" borderId="0" xfId="0" applyNumberFormat="1" applyFont="1" applyAlignment="1">
      <alignment horizontal="left" vertical="center"/>
    </xf>
    <xf numFmtId="4" fontId="82" fillId="19" borderId="0" xfId="0" applyNumberFormat="1" applyFont="1" applyFill="1" applyAlignment="1">
      <alignment horizontal="left" vertical="center"/>
    </xf>
    <xf numFmtId="0" fontId="76" fillId="4" borderId="31" xfId="0" applyFont="1" applyFill="1" applyBorder="1" applyAlignment="1">
      <alignment horizontal="center"/>
    </xf>
    <xf numFmtId="0" fontId="76" fillId="4" borderId="45" xfId="0" applyFont="1" applyFill="1" applyBorder="1" applyAlignment="1">
      <alignment horizontal="center"/>
    </xf>
    <xf numFmtId="0" fontId="90" fillId="4" borderId="1" xfId="0" applyFont="1" applyFill="1" applyBorder="1" applyAlignment="1">
      <alignment horizontal="center" vertical="center"/>
    </xf>
    <xf numFmtId="0" fontId="90" fillId="4" borderId="46" xfId="0" applyFont="1" applyFill="1" applyBorder="1" applyAlignment="1">
      <alignment horizontal="center" vertical="center"/>
    </xf>
    <xf numFmtId="4" fontId="90" fillId="24" borderId="13" xfId="0" applyNumberFormat="1" applyFont="1" applyFill="1" applyBorder="1" applyAlignment="1">
      <alignment horizontal="left" vertical="top" wrapText="1"/>
    </xf>
    <xf numFmtId="4" fontId="90" fillId="24" borderId="0" xfId="0" applyNumberFormat="1" applyFont="1" applyFill="1" applyBorder="1" applyAlignment="1">
      <alignment horizontal="left" vertical="top" wrapText="1"/>
    </xf>
  </cellXfs>
  <cellStyles count="8">
    <cellStyle name="Comma" xfId="1" builtinId="3"/>
    <cellStyle name="Comma 10" xfId="3"/>
    <cellStyle name="Comma 2 2 4" xfId="7"/>
    <cellStyle name="Comma 3" xfId="2"/>
    <cellStyle name="Currency 4" xfId="5"/>
    <cellStyle name="Currency 5" xfId="4"/>
    <cellStyle name="Normal" xfId="0" builtinId="0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UT~1\AppData\Local\Temp\Funding%20Landscape\Detailed%20Budget%20for%202018,%202019,%202020%20(%20Final%20)6.4.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L- HP"/>
      <sheetName val="BK LNT ODX"/>
      <sheetName val="CPS ATT SRV"/>
      <sheetName val="2018"/>
      <sheetName val="  2019 "/>
      <sheetName val=" 2020"/>
      <sheetName val="Sua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12">
          <cell r="H1512">
            <v>43018.682399213372</v>
          </cell>
        </row>
        <row r="1515">
          <cell r="H1515">
            <v>59626.95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Normal="100" workbookViewId="0">
      <selection activeCell="A7" sqref="A7:F7"/>
    </sheetView>
  </sheetViews>
  <sheetFormatPr defaultColWidth="8.85546875" defaultRowHeight="15" x14ac:dyDescent="0.25"/>
  <cols>
    <col min="2" max="2" width="37.140625" customWidth="1"/>
    <col min="3" max="3" width="9.42578125" style="19" customWidth="1"/>
    <col min="4" max="4" width="9.42578125" style="13" customWidth="1"/>
    <col min="5" max="5" width="10.42578125" style="13" customWidth="1"/>
    <col min="6" max="6" width="11.28515625" style="13" customWidth="1"/>
    <col min="7" max="7" width="14.85546875" style="19" customWidth="1"/>
    <col min="8" max="8" width="11.42578125" style="32" bestFit="1" customWidth="1"/>
  </cols>
  <sheetData>
    <row r="1" spans="1:9" s="3" customFormat="1" x14ac:dyDescent="0.25">
      <c r="A1" s="3" t="s">
        <v>0</v>
      </c>
      <c r="C1" s="29"/>
      <c r="D1" s="30"/>
      <c r="E1" s="30"/>
      <c r="F1" s="30"/>
      <c r="G1" s="29"/>
      <c r="H1" s="31"/>
    </row>
    <row r="2" spans="1:9" s="3" customFormat="1" x14ac:dyDescent="0.25">
      <c r="A2" s="3" t="s">
        <v>1</v>
      </c>
      <c r="C2" s="29"/>
      <c r="D2" s="30"/>
      <c r="E2" s="30"/>
      <c r="F2" s="30"/>
      <c r="G2" s="29"/>
      <c r="H2" s="31"/>
    </row>
    <row r="3" spans="1:9" s="3" customFormat="1" x14ac:dyDescent="0.25">
      <c r="A3" s="3" t="s">
        <v>2</v>
      </c>
      <c r="C3" s="29"/>
      <c r="D3" s="30"/>
      <c r="E3" s="30"/>
      <c r="F3" s="30"/>
      <c r="G3" s="29"/>
      <c r="H3" s="31"/>
    </row>
    <row r="4" spans="1:9" s="3" customFormat="1" x14ac:dyDescent="0.25">
      <c r="A4" s="3" t="s">
        <v>4</v>
      </c>
      <c r="C4" s="29"/>
      <c r="D4" s="30"/>
      <c r="E4" s="30"/>
      <c r="F4" s="30"/>
      <c r="G4" s="29"/>
      <c r="H4" s="31"/>
    </row>
    <row r="6" spans="1:9" ht="37.5" customHeight="1" x14ac:dyDescent="0.25">
      <c r="A6" s="749" t="s">
        <v>31</v>
      </c>
      <c r="B6" s="749"/>
      <c r="C6" s="749"/>
      <c r="D6" s="749"/>
      <c r="E6" s="749"/>
      <c r="F6" s="749"/>
      <c r="G6" s="749"/>
    </row>
    <row r="7" spans="1:9" s="24" customFormat="1" ht="32.25" customHeight="1" x14ac:dyDescent="0.25">
      <c r="A7" s="746" t="s">
        <v>5</v>
      </c>
      <c r="B7" s="747"/>
      <c r="C7" s="747"/>
      <c r="D7" s="747"/>
      <c r="E7" s="747"/>
      <c r="F7" s="747"/>
      <c r="G7" s="748" t="s">
        <v>29</v>
      </c>
      <c r="H7" s="33"/>
    </row>
    <row r="8" spans="1:9" s="24" customFormat="1" ht="32.25" customHeight="1" x14ac:dyDescent="0.25">
      <c r="A8" s="25" t="s">
        <v>16</v>
      </c>
      <c r="B8" s="26" t="s">
        <v>3</v>
      </c>
      <c r="C8" s="27">
        <v>2018</v>
      </c>
      <c r="D8" s="27">
        <v>2019</v>
      </c>
      <c r="E8" s="27">
        <v>2020</v>
      </c>
      <c r="F8" s="28" t="s">
        <v>28</v>
      </c>
      <c r="G8" s="748"/>
      <c r="H8" s="33"/>
    </row>
    <row r="9" spans="1:9" s="4" customFormat="1" x14ac:dyDescent="0.25">
      <c r="A9" s="20" t="s">
        <v>6</v>
      </c>
      <c r="B9" s="20"/>
      <c r="C9" s="21"/>
      <c r="D9" s="21"/>
      <c r="E9" s="21"/>
      <c r="F9" s="22"/>
      <c r="G9" s="23"/>
      <c r="H9" s="34"/>
    </row>
    <row r="10" spans="1:9" s="6" customFormat="1" x14ac:dyDescent="0.25">
      <c r="A10" s="1"/>
      <c r="B10" s="5" t="s">
        <v>7</v>
      </c>
      <c r="C10" s="15">
        <v>0</v>
      </c>
      <c r="D10" s="15">
        <v>126017.76809898391</v>
      </c>
      <c r="E10" s="15">
        <v>61450.51</v>
      </c>
      <c r="F10" s="14">
        <f t="shared" ref="F10:F28" si="0">SUM(C10:E10)</f>
        <v>187468.27809898392</v>
      </c>
      <c r="G10" s="39" t="s">
        <v>30</v>
      </c>
      <c r="H10" s="35"/>
    </row>
    <row r="11" spans="1:9" s="6" customFormat="1" x14ac:dyDescent="0.25">
      <c r="A11" s="1"/>
      <c r="B11" s="5" t="s">
        <v>8</v>
      </c>
      <c r="C11" s="15">
        <v>15929.933638151426</v>
      </c>
      <c r="D11" s="15"/>
      <c r="E11" s="15">
        <v>0</v>
      </c>
      <c r="F11" s="14">
        <f t="shared" si="0"/>
        <v>15929.933638151426</v>
      </c>
      <c r="G11" s="39" t="s">
        <v>30</v>
      </c>
      <c r="H11" s="35"/>
    </row>
    <row r="12" spans="1:9" s="6" customFormat="1" x14ac:dyDescent="0.25">
      <c r="A12" s="1"/>
      <c r="B12" s="5" t="s">
        <v>9</v>
      </c>
      <c r="C12" s="15">
        <v>0</v>
      </c>
      <c r="D12" s="15">
        <v>79017.33</v>
      </c>
      <c r="E12" s="15">
        <v>0</v>
      </c>
      <c r="F12" s="14">
        <f t="shared" si="0"/>
        <v>79017.33</v>
      </c>
      <c r="G12" s="39" t="s">
        <v>30</v>
      </c>
      <c r="H12" s="35"/>
      <c r="I12" s="35"/>
    </row>
    <row r="13" spans="1:9" s="4" customFormat="1" x14ac:dyDescent="0.25">
      <c r="A13" s="20" t="s">
        <v>10</v>
      </c>
      <c r="B13" s="20"/>
      <c r="C13" s="21"/>
      <c r="D13" s="21"/>
      <c r="E13" s="21"/>
      <c r="F13" s="22"/>
      <c r="G13" s="38"/>
      <c r="H13" s="34"/>
    </row>
    <row r="14" spans="1:9" s="6" customFormat="1" ht="25.5" x14ac:dyDescent="0.25">
      <c r="A14" s="2"/>
      <c r="B14" s="37" t="s">
        <v>22</v>
      </c>
      <c r="C14" s="16">
        <v>170003.42</v>
      </c>
      <c r="D14" s="16">
        <v>0</v>
      </c>
      <c r="E14" s="16">
        <v>73297.960000000006</v>
      </c>
      <c r="F14" s="14">
        <f t="shared" si="0"/>
        <v>243301.38</v>
      </c>
      <c r="G14" s="39" t="s">
        <v>30</v>
      </c>
      <c r="H14" s="35"/>
    </row>
    <row r="15" spans="1:9" s="6" customFormat="1" x14ac:dyDescent="0.25">
      <c r="A15" s="2"/>
      <c r="B15" s="5" t="s">
        <v>27</v>
      </c>
      <c r="C15" s="17"/>
      <c r="D15" s="17"/>
      <c r="E15" s="17"/>
      <c r="F15" s="14"/>
      <c r="G15" s="39" t="s">
        <v>30</v>
      </c>
      <c r="H15" s="35"/>
    </row>
    <row r="16" spans="1:9" s="6" customFormat="1" x14ac:dyDescent="0.25">
      <c r="A16" s="2"/>
      <c r="B16" s="5" t="s">
        <v>23</v>
      </c>
      <c r="C16" s="15">
        <v>0</v>
      </c>
      <c r="D16" s="15"/>
      <c r="E16" s="15">
        <v>0</v>
      </c>
      <c r="F16" s="14">
        <f t="shared" si="0"/>
        <v>0</v>
      </c>
      <c r="G16" s="39" t="s">
        <v>30</v>
      </c>
      <c r="H16" s="35"/>
    </row>
    <row r="17" spans="1:9" s="6" customFormat="1" x14ac:dyDescent="0.25">
      <c r="A17" s="2"/>
      <c r="B17" s="5" t="s">
        <v>24</v>
      </c>
      <c r="C17" s="15">
        <v>0</v>
      </c>
      <c r="D17" s="15"/>
      <c r="E17" s="15">
        <v>0</v>
      </c>
      <c r="F17" s="14">
        <f t="shared" si="0"/>
        <v>0</v>
      </c>
      <c r="G17" s="39" t="s">
        <v>30</v>
      </c>
      <c r="H17" s="35"/>
    </row>
    <row r="18" spans="1:9" s="6" customFormat="1" x14ac:dyDescent="0.25">
      <c r="A18" s="2"/>
      <c r="B18" s="9" t="s">
        <v>25</v>
      </c>
      <c r="C18" s="15">
        <v>0</v>
      </c>
      <c r="D18" s="15"/>
      <c r="E18" s="15">
        <v>0</v>
      </c>
      <c r="F18" s="14">
        <f t="shared" si="0"/>
        <v>0</v>
      </c>
      <c r="G18" s="39" t="s">
        <v>30</v>
      </c>
      <c r="H18" s="35"/>
    </row>
    <row r="19" spans="1:9" s="6" customFormat="1" x14ac:dyDescent="0.25">
      <c r="A19" s="2"/>
      <c r="B19" s="7" t="s">
        <v>26</v>
      </c>
      <c r="C19" s="16">
        <v>0</v>
      </c>
      <c r="D19" s="16"/>
      <c r="E19" s="16">
        <v>0</v>
      </c>
      <c r="F19" s="14">
        <f t="shared" si="0"/>
        <v>0</v>
      </c>
      <c r="G19" s="39" t="s">
        <v>30</v>
      </c>
      <c r="H19" s="35"/>
    </row>
    <row r="20" spans="1:9" s="6" customFormat="1" x14ac:dyDescent="0.25">
      <c r="A20" s="2"/>
      <c r="B20" s="8" t="s">
        <v>11</v>
      </c>
      <c r="C20" s="16">
        <v>98079.87143559489</v>
      </c>
      <c r="D20" s="16">
        <v>97529.498525073752</v>
      </c>
      <c r="E20" s="16">
        <v>130039.33</v>
      </c>
      <c r="F20" s="14">
        <f t="shared" si="0"/>
        <v>325648.69996066863</v>
      </c>
      <c r="G20" s="39" t="s">
        <v>30</v>
      </c>
      <c r="H20" s="35"/>
    </row>
    <row r="21" spans="1:9" s="6" customFormat="1" x14ac:dyDescent="0.25">
      <c r="A21" s="2"/>
      <c r="B21" s="5" t="s">
        <v>12</v>
      </c>
      <c r="C21" s="17">
        <v>126495.57522123895</v>
      </c>
      <c r="D21" s="15"/>
      <c r="E21" s="17">
        <v>19726.072605920835</v>
      </c>
      <c r="F21" s="14">
        <f t="shared" si="0"/>
        <v>146221.64782715979</v>
      </c>
      <c r="G21" s="39" t="s">
        <v>30</v>
      </c>
      <c r="H21" s="35"/>
      <c r="I21" s="40"/>
    </row>
    <row r="22" spans="1:9" s="6" customFormat="1" x14ac:dyDescent="0.25">
      <c r="A22" s="2"/>
      <c r="B22" s="5" t="s">
        <v>13</v>
      </c>
      <c r="C22" s="15">
        <v>0</v>
      </c>
      <c r="D22" s="15"/>
      <c r="E22" s="15">
        <v>0</v>
      </c>
      <c r="F22" s="14">
        <f t="shared" si="0"/>
        <v>0</v>
      </c>
      <c r="G22" s="39" t="s">
        <v>30</v>
      </c>
      <c r="H22" s="35"/>
    </row>
    <row r="23" spans="1:9" s="6" customFormat="1" x14ac:dyDescent="0.25">
      <c r="A23" s="2"/>
      <c r="B23" s="5" t="s">
        <v>14</v>
      </c>
      <c r="C23" s="15">
        <v>0</v>
      </c>
      <c r="D23" s="15"/>
      <c r="E23" s="15">
        <v>0</v>
      </c>
      <c r="F23" s="14">
        <f t="shared" si="0"/>
        <v>0</v>
      </c>
      <c r="G23" s="39" t="s">
        <v>30</v>
      </c>
      <c r="H23" s="35"/>
    </row>
    <row r="24" spans="1:9" s="6" customFormat="1" x14ac:dyDescent="0.25">
      <c r="A24" s="2"/>
      <c r="B24" s="9" t="s">
        <v>15</v>
      </c>
      <c r="C24" s="15">
        <v>0</v>
      </c>
      <c r="D24" s="15"/>
      <c r="E24" s="15">
        <v>0</v>
      </c>
      <c r="F24" s="14">
        <f t="shared" si="0"/>
        <v>0</v>
      </c>
      <c r="G24" s="39" t="s">
        <v>30</v>
      </c>
      <c r="H24" s="35"/>
    </row>
    <row r="25" spans="1:9" s="4" customFormat="1" x14ac:dyDescent="0.25">
      <c r="A25" s="20" t="s">
        <v>17</v>
      </c>
      <c r="B25" s="20"/>
      <c r="C25" s="21"/>
      <c r="D25" s="21"/>
      <c r="E25" s="21"/>
      <c r="F25" s="22"/>
      <c r="G25" s="38"/>
      <c r="H25" s="34"/>
    </row>
    <row r="26" spans="1:9" s="6" customFormat="1" x14ac:dyDescent="0.25">
      <c r="A26" s="1"/>
      <c r="B26" s="5" t="s">
        <v>18</v>
      </c>
      <c r="C26" s="15">
        <v>51524.029006882993</v>
      </c>
      <c r="D26" s="15">
        <v>16235.373647984268</v>
      </c>
      <c r="E26" s="15">
        <v>0</v>
      </c>
      <c r="F26" s="14">
        <f t="shared" si="0"/>
        <v>67759.402654867255</v>
      </c>
      <c r="G26" s="39" t="s">
        <v>30</v>
      </c>
      <c r="H26" s="35"/>
    </row>
    <row r="27" spans="1:9" s="6" customFormat="1" x14ac:dyDescent="0.25">
      <c r="A27" s="1"/>
      <c r="B27" s="5" t="s">
        <v>19</v>
      </c>
      <c r="C27" s="15">
        <v>0</v>
      </c>
      <c r="D27" s="15">
        <v>154774.95399056299</v>
      </c>
      <c r="E27" s="15">
        <v>262820.14</v>
      </c>
      <c r="F27" s="14">
        <f t="shared" si="0"/>
        <v>417595.09399056301</v>
      </c>
      <c r="G27" s="39" t="s">
        <v>32</v>
      </c>
      <c r="H27" s="35"/>
      <c r="I27" s="35"/>
    </row>
    <row r="28" spans="1:9" s="6" customFormat="1" ht="14.25" customHeight="1" x14ac:dyDescent="0.25">
      <c r="A28" s="1"/>
      <c r="B28" s="5" t="s">
        <v>20</v>
      </c>
      <c r="C28" s="15">
        <v>0</v>
      </c>
      <c r="D28" s="15">
        <v>0</v>
      </c>
      <c r="E28" s="15">
        <v>0</v>
      </c>
      <c r="F28" s="14">
        <f t="shared" si="0"/>
        <v>0</v>
      </c>
      <c r="G28" s="39" t="s">
        <v>30</v>
      </c>
      <c r="H28" s="35"/>
    </row>
    <row r="29" spans="1:9" s="12" customFormat="1" x14ac:dyDescent="0.25">
      <c r="A29" s="11"/>
      <c r="B29" s="10" t="s">
        <v>21</v>
      </c>
      <c r="C29" s="18">
        <f>SUM(C9:C28)</f>
        <v>462032.82930186822</v>
      </c>
      <c r="D29" s="18">
        <f>SUM(D9:D28)</f>
        <v>473574.92426260497</v>
      </c>
      <c r="E29" s="18">
        <f>SUM(E9:E28)</f>
        <v>547334.0126059209</v>
      </c>
      <c r="F29" s="18">
        <f>SUM(F9:F28)</f>
        <v>1482941.7661703939</v>
      </c>
      <c r="G29" s="18"/>
      <c r="H29" s="36"/>
    </row>
  </sheetData>
  <mergeCells count="3">
    <mergeCell ref="A7:F7"/>
    <mergeCell ref="G7:G8"/>
    <mergeCell ref="A6:G6"/>
  </mergeCells>
  <pageMargins left="0.25" right="0.25" top="0.75" bottom="0.5" header="0.3" footer="0.3"/>
  <pageSetup orientation="portrait" verticalDpi="0" r:id="rId1"/>
  <headerFooter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334"/>
  <sheetViews>
    <sheetView topLeftCell="A1303" workbookViewId="0">
      <selection activeCell="C1334" sqref="C1334"/>
    </sheetView>
  </sheetViews>
  <sheetFormatPr defaultColWidth="8.85546875" defaultRowHeight="11.25" x14ac:dyDescent="0.25"/>
  <cols>
    <col min="1" max="1" width="6.28515625" style="48" customWidth="1"/>
    <col min="2" max="2" width="32.7109375" style="48" customWidth="1"/>
    <col min="3" max="3" width="46.7109375" style="48" customWidth="1"/>
    <col min="4" max="4" width="17.28515625" style="48" customWidth="1"/>
    <col min="5" max="5" width="8.85546875" style="48"/>
    <col min="6" max="6" width="12" style="48" bestFit="1" customWidth="1"/>
    <col min="7" max="7" width="19.140625" style="48" customWidth="1"/>
    <col min="8" max="8" width="17.7109375" style="47" customWidth="1"/>
    <col min="9" max="9" width="12.28515625" style="48" bestFit="1" customWidth="1"/>
    <col min="10" max="10" width="8.85546875" style="48"/>
    <col min="11" max="11" width="13.85546875" style="48" customWidth="1"/>
    <col min="12" max="12" width="12.28515625" style="48" bestFit="1" customWidth="1"/>
    <col min="13" max="16384" width="8.85546875" style="48"/>
  </cols>
  <sheetData>
    <row r="1" spans="1:21" s="41" customFormat="1" ht="23.25" customHeight="1" x14ac:dyDescent="0.25">
      <c r="C1" s="41" t="s">
        <v>33</v>
      </c>
      <c r="F1" s="744" t="s">
        <v>34</v>
      </c>
      <c r="G1" s="745">
        <v>8136</v>
      </c>
      <c r="H1" s="42"/>
      <c r="I1" s="42"/>
      <c r="J1" s="42"/>
      <c r="K1" s="42"/>
      <c r="L1" s="42"/>
      <c r="M1" s="42"/>
    </row>
    <row r="2" spans="1:21" s="49" customFormat="1" ht="18.75" customHeight="1" thickBot="1" x14ac:dyDescent="0.3">
      <c r="A2" s="43" t="s">
        <v>35</v>
      </c>
      <c r="B2" s="43" t="s">
        <v>36</v>
      </c>
      <c r="C2" s="43"/>
      <c r="D2" s="44"/>
      <c r="E2" s="45"/>
      <c r="F2" s="45"/>
      <c r="G2" s="46" t="s">
        <v>37</v>
      </c>
      <c r="H2" s="47">
        <f>H19+H37+H70+H101+H135+H164</f>
        <v>15929.941002949852</v>
      </c>
      <c r="I2" s="48"/>
      <c r="J2" s="48"/>
      <c r="K2" s="48"/>
      <c r="L2" s="48"/>
      <c r="M2" s="48"/>
    </row>
    <row r="3" spans="1:21" s="59" customFormat="1" ht="44.25" customHeight="1" x14ac:dyDescent="0.25">
      <c r="A3" s="50">
        <v>1.1000000000000001</v>
      </c>
      <c r="B3" s="51" t="s">
        <v>38</v>
      </c>
      <c r="C3" s="52" t="s">
        <v>39</v>
      </c>
      <c r="D3" s="53">
        <v>300000</v>
      </c>
      <c r="E3" s="53">
        <v>1</v>
      </c>
      <c r="F3" s="53">
        <v>1</v>
      </c>
      <c r="G3" s="54">
        <f t="shared" ref="G3" si="0">D3*E3*F3</f>
        <v>300000</v>
      </c>
      <c r="H3" s="55"/>
      <c r="I3" s="56"/>
      <c r="J3" s="56"/>
      <c r="K3" s="57"/>
      <c r="L3" s="57"/>
      <c r="M3" s="57"/>
      <c r="N3" s="58"/>
      <c r="O3" s="58"/>
      <c r="P3" s="58"/>
      <c r="Q3" s="58"/>
      <c r="R3" s="58"/>
      <c r="S3" s="58"/>
      <c r="T3" s="58"/>
      <c r="U3" s="58"/>
    </row>
    <row r="4" spans="1:21" s="59" customFormat="1" ht="15" customHeight="1" x14ac:dyDescent="0.25">
      <c r="A4" s="60"/>
      <c r="B4" s="61" t="s">
        <v>40</v>
      </c>
      <c r="C4" s="62" t="s">
        <v>41</v>
      </c>
      <c r="D4" s="63"/>
      <c r="E4" s="63">
        <v>1</v>
      </c>
      <c r="F4" s="63">
        <v>1</v>
      </c>
      <c r="G4" s="64"/>
      <c r="H4" s="55"/>
      <c r="I4" s="56"/>
      <c r="J4" s="56"/>
      <c r="K4" s="57"/>
      <c r="L4" s="57"/>
      <c r="M4" s="57"/>
      <c r="N4" s="58"/>
      <c r="O4" s="58"/>
      <c r="P4" s="58"/>
      <c r="Q4" s="58"/>
      <c r="R4" s="58"/>
      <c r="S4" s="58"/>
      <c r="T4" s="58"/>
      <c r="U4" s="58"/>
    </row>
    <row r="5" spans="1:21" s="59" customFormat="1" ht="15" customHeight="1" x14ac:dyDescent="0.25">
      <c r="A5" s="60"/>
      <c r="B5" s="61" t="s">
        <v>42</v>
      </c>
      <c r="C5" s="62" t="s">
        <v>43</v>
      </c>
      <c r="D5" s="63"/>
      <c r="E5" s="63">
        <v>1</v>
      </c>
      <c r="F5" s="63">
        <v>1</v>
      </c>
      <c r="G5" s="64"/>
      <c r="H5" s="55"/>
      <c r="I5" s="56"/>
      <c r="J5" s="56"/>
      <c r="K5" s="57"/>
      <c r="L5" s="57"/>
      <c r="M5" s="57"/>
      <c r="N5" s="58"/>
      <c r="O5" s="58"/>
      <c r="P5" s="58"/>
      <c r="Q5" s="58"/>
      <c r="R5" s="58"/>
      <c r="S5" s="58"/>
      <c r="T5" s="58"/>
      <c r="U5" s="58"/>
    </row>
    <row r="6" spans="1:21" s="59" customFormat="1" ht="16.5" customHeight="1" x14ac:dyDescent="0.25">
      <c r="A6" s="60"/>
      <c r="B6" s="61" t="s">
        <v>44</v>
      </c>
      <c r="C6" s="62" t="s">
        <v>45</v>
      </c>
      <c r="D6" s="63"/>
      <c r="E6" s="63">
        <v>2</v>
      </c>
      <c r="F6" s="63">
        <v>1</v>
      </c>
      <c r="G6" s="64"/>
      <c r="H6" s="55"/>
      <c r="I6" s="56"/>
      <c r="J6" s="56"/>
      <c r="K6" s="57"/>
      <c r="L6" s="57"/>
      <c r="M6" s="57"/>
      <c r="N6" s="58"/>
      <c r="O6" s="58"/>
      <c r="P6" s="58"/>
      <c r="Q6" s="58"/>
      <c r="R6" s="58"/>
      <c r="S6" s="58"/>
      <c r="T6" s="58"/>
      <c r="U6" s="58"/>
    </row>
    <row r="7" spans="1:21" s="59" customFormat="1" ht="21" customHeight="1" x14ac:dyDescent="0.25">
      <c r="A7" s="60"/>
      <c r="B7" s="61" t="s">
        <v>46</v>
      </c>
      <c r="C7" s="62" t="s">
        <v>47</v>
      </c>
      <c r="D7" s="63"/>
      <c r="E7" s="63">
        <v>6</v>
      </c>
      <c r="F7" s="63">
        <v>1</v>
      </c>
      <c r="G7" s="64"/>
      <c r="H7" s="55"/>
      <c r="I7" s="56"/>
      <c r="J7" s="56"/>
      <c r="K7" s="57"/>
      <c r="L7" s="57"/>
      <c r="M7" s="57"/>
      <c r="N7" s="58"/>
      <c r="O7" s="58"/>
      <c r="P7" s="58"/>
      <c r="Q7" s="58"/>
      <c r="R7" s="58"/>
      <c r="S7" s="58"/>
      <c r="T7" s="58"/>
      <c r="U7" s="58"/>
    </row>
    <row r="8" spans="1:21" s="59" customFormat="1" ht="18" customHeight="1" x14ac:dyDescent="0.25">
      <c r="A8" s="60"/>
      <c r="B8" s="61" t="s">
        <v>48</v>
      </c>
      <c r="C8" s="62" t="s">
        <v>49</v>
      </c>
      <c r="D8" s="63"/>
      <c r="E8" s="63">
        <v>1</v>
      </c>
      <c r="F8" s="63">
        <v>1</v>
      </c>
      <c r="G8" s="64"/>
      <c r="H8" s="55"/>
      <c r="I8" s="56"/>
      <c r="J8" s="56"/>
      <c r="K8" s="57"/>
      <c r="L8" s="57"/>
      <c r="M8" s="57"/>
      <c r="N8" s="58"/>
      <c r="O8" s="58"/>
      <c r="P8" s="58"/>
      <c r="Q8" s="58"/>
      <c r="R8" s="58"/>
      <c r="S8" s="58"/>
      <c r="T8" s="58"/>
      <c r="U8" s="58"/>
    </row>
    <row r="9" spans="1:21" s="59" customFormat="1" ht="11.25" customHeight="1" x14ac:dyDescent="0.25">
      <c r="A9" s="60"/>
      <c r="B9" s="61" t="s">
        <v>50</v>
      </c>
      <c r="C9" s="62" t="s">
        <v>51</v>
      </c>
      <c r="D9" s="63"/>
      <c r="E9" s="63">
        <v>34</v>
      </c>
      <c r="F9" s="63">
        <v>1</v>
      </c>
      <c r="G9" s="64"/>
      <c r="H9" s="55"/>
      <c r="I9" s="56"/>
      <c r="J9" s="56"/>
      <c r="K9" s="57"/>
      <c r="L9" s="57"/>
      <c r="M9" s="57"/>
      <c r="N9" s="58"/>
      <c r="O9" s="58"/>
      <c r="P9" s="58"/>
      <c r="Q9" s="58"/>
      <c r="R9" s="58"/>
      <c r="S9" s="58"/>
      <c r="T9" s="58"/>
      <c r="U9" s="58"/>
    </row>
    <row r="10" spans="1:21" s="59" customFormat="1" ht="12.75" customHeight="1" x14ac:dyDescent="0.25">
      <c r="A10" s="60"/>
      <c r="B10" s="65"/>
      <c r="C10" s="62" t="s">
        <v>52</v>
      </c>
      <c r="D10" s="63">
        <v>200000</v>
      </c>
      <c r="E10" s="63">
        <v>5</v>
      </c>
      <c r="F10" s="63">
        <v>1</v>
      </c>
      <c r="G10" s="64">
        <f>E10*D10</f>
        <v>1000000</v>
      </c>
      <c r="H10" s="55"/>
      <c r="I10" s="56"/>
      <c r="J10" s="56"/>
      <c r="K10" s="57"/>
      <c r="L10" s="57"/>
      <c r="M10" s="57"/>
      <c r="N10" s="58"/>
      <c r="O10" s="58"/>
      <c r="P10" s="58"/>
      <c r="Q10" s="58"/>
      <c r="R10" s="58"/>
      <c r="S10" s="58"/>
      <c r="T10" s="58"/>
      <c r="U10" s="58"/>
    </row>
    <row r="11" spans="1:21" s="59" customFormat="1" ht="12" customHeight="1" x14ac:dyDescent="0.25">
      <c r="A11" s="66"/>
      <c r="C11" s="67" t="s">
        <v>53</v>
      </c>
      <c r="D11" s="63">
        <v>80000</v>
      </c>
      <c r="E11" s="63">
        <v>1</v>
      </c>
      <c r="F11" s="63">
        <v>1</v>
      </c>
      <c r="G11" s="64">
        <f>D11*E11*F11</f>
        <v>80000</v>
      </c>
      <c r="H11" s="55"/>
      <c r="I11" s="68"/>
      <c r="J11" s="56"/>
      <c r="K11" s="57"/>
      <c r="L11" s="57"/>
      <c r="M11" s="57"/>
      <c r="N11" s="58"/>
      <c r="O11" s="58"/>
      <c r="P11" s="58"/>
      <c r="Q11" s="58"/>
      <c r="R11" s="58"/>
      <c r="S11" s="58"/>
      <c r="T11" s="58"/>
      <c r="U11" s="58"/>
    </row>
    <row r="12" spans="1:21" s="59" customFormat="1" ht="12" customHeight="1" x14ac:dyDescent="0.25">
      <c r="A12" s="66"/>
      <c r="C12" s="67" t="s">
        <v>54</v>
      </c>
      <c r="D12" s="63">
        <v>80000</v>
      </c>
      <c r="E12" s="63">
        <v>4</v>
      </c>
      <c r="F12" s="63">
        <v>1</v>
      </c>
      <c r="G12" s="64">
        <f>D12*E12*F12</f>
        <v>320000</v>
      </c>
      <c r="H12" s="55"/>
      <c r="I12" s="68"/>
      <c r="J12" s="56"/>
      <c r="K12" s="57"/>
      <c r="L12" s="57"/>
      <c r="M12" s="57"/>
      <c r="N12" s="58"/>
      <c r="O12" s="58"/>
      <c r="P12" s="58"/>
      <c r="Q12" s="58"/>
      <c r="R12" s="58"/>
      <c r="S12" s="58"/>
      <c r="T12" s="58"/>
      <c r="U12" s="58"/>
    </row>
    <row r="13" spans="1:21" s="59" customFormat="1" ht="12" customHeight="1" x14ac:dyDescent="0.25">
      <c r="A13" s="66"/>
      <c r="C13" s="67" t="s">
        <v>55</v>
      </c>
      <c r="D13" s="63">
        <v>80000</v>
      </c>
      <c r="E13" s="63">
        <v>17</v>
      </c>
      <c r="F13" s="63">
        <v>1</v>
      </c>
      <c r="G13" s="64">
        <f>D13*E13*F13</f>
        <v>1360000</v>
      </c>
      <c r="H13" s="55"/>
      <c r="I13" s="68"/>
      <c r="J13" s="56"/>
      <c r="K13" s="57"/>
      <c r="L13" s="57"/>
      <c r="M13" s="57"/>
      <c r="N13" s="58"/>
      <c r="O13" s="58"/>
      <c r="P13" s="58"/>
      <c r="Q13" s="58"/>
      <c r="R13" s="58"/>
      <c r="S13" s="58"/>
      <c r="T13" s="58"/>
      <c r="U13" s="58"/>
    </row>
    <row r="14" spans="1:21" s="59" customFormat="1" ht="25.5" customHeight="1" x14ac:dyDescent="0.25">
      <c r="A14" s="66"/>
      <c r="C14" s="69" t="s">
        <v>56</v>
      </c>
      <c r="D14" s="63">
        <v>350000</v>
      </c>
      <c r="E14" s="63">
        <v>50</v>
      </c>
      <c r="F14" s="63">
        <v>1</v>
      </c>
      <c r="G14" s="64">
        <f t="shared" ref="G14" si="1">D14*E14*F14</f>
        <v>17500000</v>
      </c>
      <c r="H14" s="55"/>
      <c r="I14" s="68"/>
      <c r="J14" s="56"/>
      <c r="K14" s="57"/>
      <c r="L14" s="57"/>
      <c r="M14" s="57"/>
      <c r="N14" s="58"/>
      <c r="O14" s="58"/>
      <c r="P14" s="58"/>
      <c r="Q14" s="58"/>
      <c r="R14" s="58"/>
      <c r="S14" s="58"/>
      <c r="T14" s="58"/>
      <c r="U14" s="58"/>
    </row>
    <row r="15" spans="1:21" s="59" customFormat="1" ht="12" customHeight="1" x14ac:dyDescent="0.25">
      <c r="A15" s="66"/>
      <c r="B15" s="70"/>
      <c r="C15" s="62" t="s">
        <v>57</v>
      </c>
      <c r="D15" s="63">
        <v>40000</v>
      </c>
      <c r="E15" s="63">
        <v>7</v>
      </c>
      <c r="F15" s="63">
        <v>1</v>
      </c>
      <c r="G15" s="64">
        <f>F15*E15*D15</f>
        <v>280000</v>
      </c>
      <c r="H15" s="55"/>
      <c r="I15" s="68"/>
      <c r="J15" s="56"/>
      <c r="K15" s="57"/>
      <c r="L15" s="57"/>
      <c r="M15" s="57"/>
      <c r="N15" s="58"/>
      <c r="O15" s="58"/>
      <c r="P15" s="58"/>
      <c r="Q15" s="58"/>
      <c r="R15" s="58"/>
      <c r="S15" s="58"/>
      <c r="T15" s="58"/>
      <c r="U15" s="58"/>
    </row>
    <row r="16" spans="1:21" s="59" customFormat="1" ht="12" customHeight="1" x14ac:dyDescent="0.25">
      <c r="A16" s="66"/>
      <c r="B16" s="70"/>
      <c r="C16" s="62" t="s">
        <v>58</v>
      </c>
      <c r="D16" s="63">
        <v>5000</v>
      </c>
      <c r="E16" s="63">
        <v>50</v>
      </c>
      <c r="F16" s="63">
        <v>1</v>
      </c>
      <c r="G16" s="64">
        <f>F16*E16*D16</f>
        <v>250000</v>
      </c>
      <c r="H16" s="55"/>
      <c r="I16" s="68"/>
      <c r="J16" s="56"/>
      <c r="K16" s="57"/>
      <c r="L16" s="57"/>
      <c r="M16" s="57"/>
      <c r="N16" s="58"/>
      <c r="O16" s="58"/>
      <c r="P16" s="58"/>
      <c r="Q16" s="58"/>
      <c r="R16" s="58"/>
      <c r="S16" s="58"/>
      <c r="T16" s="58"/>
      <c r="U16" s="58"/>
    </row>
    <row r="17" spans="1:21" s="59" customFormat="1" ht="12" customHeight="1" x14ac:dyDescent="0.25">
      <c r="A17" s="66"/>
      <c r="B17" s="70"/>
      <c r="C17" s="62" t="s">
        <v>59</v>
      </c>
      <c r="D17" s="63">
        <v>55000</v>
      </c>
      <c r="E17" s="63">
        <v>50</v>
      </c>
      <c r="F17" s="63">
        <v>1</v>
      </c>
      <c r="G17" s="64">
        <f>F17*E17*D17</f>
        <v>2750000</v>
      </c>
      <c r="H17" s="55"/>
      <c r="I17" s="68"/>
      <c r="J17" s="56"/>
      <c r="K17" s="57"/>
      <c r="L17" s="57"/>
      <c r="M17" s="57"/>
      <c r="N17" s="58"/>
      <c r="O17" s="58"/>
      <c r="P17" s="58"/>
      <c r="Q17" s="58"/>
      <c r="R17" s="58"/>
      <c r="S17" s="58"/>
      <c r="T17" s="58"/>
      <c r="U17" s="58"/>
    </row>
    <row r="18" spans="1:21" s="59" customFormat="1" ht="12" customHeight="1" thickBot="1" x14ac:dyDescent="0.3">
      <c r="A18" s="66"/>
      <c r="B18" s="70"/>
      <c r="C18" s="62" t="s">
        <v>60</v>
      </c>
      <c r="D18" s="63">
        <v>37800</v>
      </c>
      <c r="E18" s="63">
        <v>50</v>
      </c>
      <c r="F18" s="63">
        <v>1</v>
      </c>
      <c r="G18" s="64">
        <f>F18*E18*D18</f>
        <v>1890000</v>
      </c>
      <c r="H18" s="55"/>
      <c r="I18" s="68"/>
      <c r="J18" s="56"/>
      <c r="K18" s="57"/>
      <c r="L18" s="57"/>
      <c r="M18" s="57"/>
      <c r="N18" s="58"/>
      <c r="O18" s="58"/>
      <c r="P18" s="58"/>
      <c r="Q18" s="58"/>
      <c r="R18" s="58"/>
      <c r="S18" s="58"/>
      <c r="T18" s="58"/>
      <c r="U18" s="58"/>
    </row>
    <row r="19" spans="1:21" s="59" customFormat="1" ht="12" customHeight="1" thickBot="1" x14ac:dyDescent="0.3">
      <c r="A19" s="66"/>
      <c r="B19" s="71"/>
      <c r="C19" s="72"/>
      <c r="D19" s="72"/>
      <c r="E19" s="72"/>
      <c r="F19" s="72"/>
      <c r="G19" s="73">
        <f>SUM(G3:G18)</f>
        <v>25730000</v>
      </c>
      <c r="H19" s="74">
        <f>G19/8136</f>
        <v>3162.4877089478859</v>
      </c>
      <c r="I19" s="68"/>
      <c r="J19" s="56"/>
      <c r="K19" s="57"/>
      <c r="L19" s="57"/>
      <c r="M19" s="57"/>
      <c r="N19" s="58"/>
      <c r="O19" s="58"/>
      <c r="P19" s="58"/>
      <c r="Q19" s="58"/>
      <c r="R19" s="58"/>
      <c r="S19" s="58"/>
      <c r="T19" s="58"/>
      <c r="U19" s="58"/>
    </row>
    <row r="20" spans="1:21" s="59" customFormat="1" ht="12" customHeight="1" thickBot="1" x14ac:dyDescent="0.3">
      <c r="A20" s="66"/>
      <c r="C20" s="63"/>
      <c r="D20" s="63"/>
      <c r="E20" s="63"/>
      <c r="F20" s="63"/>
      <c r="G20" s="64"/>
      <c r="H20" s="55"/>
      <c r="I20" s="56"/>
      <c r="J20" s="56"/>
      <c r="K20" s="57"/>
      <c r="L20" s="57"/>
      <c r="M20" s="57"/>
      <c r="N20" s="58"/>
      <c r="O20" s="58"/>
      <c r="P20" s="58"/>
      <c r="Q20" s="58"/>
      <c r="R20" s="58"/>
      <c r="S20" s="58"/>
      <c r="T20" s="58"/>
      <c r="U20" s="58"/>
    </row>
    <row r="21" spans="1:21" s="59" customFormat="1" ht="37.5" customHeight="1" x14ac:dyDescent="0.25">
      <c r="A21" s="50">
        <v>1.2</v>
      </c>
      <c r="B21" s="51" t="s">
        <v>38</v>
      </c>
      <c r="C21" s="52" t="s">
        <v>39</v>
      </c>
      <c r="D21" s="53">
        <v>300000</v>
      </c>
      <c r="E21" s="53">
        <v>1</v>
      </c>
      <c r="F21" s="53">
        <v>1</v>
      </c>
      <c r="G21" s="54">
        <f t="shared" ref="G21" si="2">D21*E21*F21</f>
        <v>300000</v>
      </c>
      <c r="H21" s="55"/>
      <c r="I21" s="56"/>
      <c r="J21" s="56"/>
      <c r="K21" s="57"/>
      <c r="L21" s="57"/>
      <c r="M21" s="57"/>
      <c r="N21" s="58"/>
      <c r="O21" s="58"/>
      <c r="P21" s="58"/>
      <c r="Q21" s="58"/>
      <c r="R21" s="58"/>
      <c r="S21" s="58"/>
      <c r="T21" s="58"/>
      <c r="U21" s="58"/>
    </row>
    <row r="22" spans="1:21" s="59" customFormat="1" ht="15" customHeight="1" x14ac:dyDescent="0.25">
      <c r="A22" s="60"/>
      <c r="B22" s="75"/>
      <c r="C22" s="63" t="s">
        <v>41</v>
      </c>
      <c r="D22" s="63"/>
      <c r="E22" s="63">
        <v>1</v>
      </c>
      <c r="F22" s="63">
        <v>1</v>
      </c>
      <c r="G22" s="64">
        <v>0</v>
      </c>
      <c r="H22" s="55"/>
      <c r="I22" s="56"/>
      <c r="J22" s="56"/>
      <c r="K22" s="57"/>
      <c r="L22" s="57"/>
      <c r="M22" s="57"/>
      <c r="N22" s="58"/>
      <c r="O22" s="58"/>
      <c r="P22" s="58"/>
      <c r="Q22" s="58"/>
      <c r="R22" s="58"/>
      <c r="S22" s="58"/>
      <c r="T22" s="58"/>
      <c r="U22" s="58"/>
    </row>
    <row r="23" spans="1:21" s="59" customFormat="1" ht="15" customHeight="1" x14ac:dyDescent="0.25">
      <c r="A23" s="60"/>
      <c r="B23" s="76" t="s">
        <v>40</v>
      </c>
      <c r="C23" s="77" t="s">
        <v>43</v>
      </c>
      <c r="D23" s="63"/>
      <c r="E23" s="63">
        <v>1</v>
      </c>
      <c r="F23" s="63">
        <v>1</v>
      </c>
      <c r="G23" s="64">
        <v>0</v>
      </c>
      <c r="H23" s="55"/>
      <c r="I23" s="56"/>
      <c r="J23" s="56"/>
      <c r="K23" s="57"/>
      <c r="L23" s="57"/>
      <c r="M23" s="57"/>
      <c r="N23" s="58"/>
      <c r="O23" s="58"/>
      <c r="P23" s="58"/>
      <c r="Q23" s="58"/>
      <c r="R23" s="58"/>
      <c r="S23" s="58"/>
      <c r="T23" s="58"/>
      <c r="U23" s="58"/>
    </row>
    <row r="24" spans="1:21" s="59" customFormat="1" ht="16.5" customHeight="1" x14ac:dyDescent="0.25">
      <c r="A24" s="60"/>
      <c r="B24" s="76" t="s">
        <v>61</v>
      </c>
      <c r="C24" s="77" t="s">
        <v>45</v>
      </c>
      <c r="D24" s="63"/>
      <c r="E24" s="63">
        <v>2</v>
      </c>
      <c r="F24" s="63">
        <v>1</v>
      </c>
      <c r="G24" s="64">
        <v>0</v>
      </c>
      <c r="H24" s="55"/>
      <c r="I24" s="56"/>
      <c r="J24" s="56"/>
      <c r="K24" s="57"/>
      <c r="L24" s="57"/>
      <c r="M24" s="57"/>
      <c r="N24" s="58"/>
      <c r="O24" s="58"/>
      <c r="P24" s="58"/>
      <c r="Q24" s="58"/>
      <c r="R24" s="58"/>
      <c r="S24" s="58"/>
      <c r="T24" s="58"/>
      <c r="U24" s="58"/>
    </row>
    <row r="25" spans="1:21" s="59" customFormat="1" ht="15.75" customHeight="1" x14ac:dyDescent="0.25">
      <c r="A25" s="60"/>
      <c r="B25" s="76" t="s">
        <v>62</v>
      </c>
      <c r="C25" s="77" t="s">
        <v>47</v>
      </c>
      <c r="D25" s="63"/>
      <c r="E25" s="63">
        <v>6</v>
      </c>
      <c r="F25" s="63">
        <v>1</v>
      </c>
      <c r="G25" s="64">
        <v>0</v>
      </c>
      <c r="H25" s="55"/>
      <c r="I25" s="56"/>
      <c r="J25" s="56"/>
      <c r="K25" s="57"/>
      <c r="L25" s="57"/>
      <c r="M25" s="57"/>
      <c r="N25" s="58"/>
      <c r="O25" s="58"/>
      <c r="P25" s="58"/>
      <c r="Q25" s="58"/>
      <c r="R25" s="58"/>
      <c r="S25" s="58"/>
      <c r="T25" s="58"/>
      <c r="U25" s="58"/>
    </row>
    <row r="26" spans="1:21" s="59" customFormat="1" ht="24.75" customHeight="1" x14ac:dyDescent="0.25">
      <c r="A26" s="60"/>
      <c r="B26" s="76" t="s">
        <v>63</v>
      </c>
      <c r="C26" s="77" t="s">
        <v>49</v>
      </c>
      <c r="D26" s="63"/>
      <c r="E26" s="63">
        <v>1</v>
      </c>
      <c r="F26" s="63">
        <v>1</v>
      </c>
      <c r="G26" s="64">
        <v>0</v>
      </c>
      <c r="H26" s="55"/>
      <c r="I26" s="56"/>
      <c r="J26" s="56"/>
      <c r="K26" s="57"/>
      <c r="L26" s="57"/>
      <c r="M26" s="57"/>
      <c r="N26" s="58"/>
      <c r="O26" s="58"/>
      <c r="P26" s="58"/>
      <c r="Q26" s="58"/>
      <c r="R26" s="58"/>
      <c r="S26" s="58"/>
      <c r="T26" s="58"/>
      <c r="U26" s="58"/>
    </row>
    <row r="27" spans="1:21" s="59" customFormat="1" ht="11.25" customHeight="1" x14ac:dyDescent="0.25">
      <c r="A27" s="60"/>
      <c r="B27" s="76" t="s">
        <v>48</v>
      </c>
      <c r="C27" s="77" t="s">
        <v>64</v>
      </c>
      <c r="D27" s="63"/>
      <c r="E27" s="63">
        <v>34</v>
      </c>
      <c r="F27" s="63">
        <v>1</v>
      </c>
      <c r="G27" s="64">
        <v>0</v>
      </c>
      <c r="H27" s="55"/>
      <c r="I27" s="56"/>
      <c r="J27" s="56"/>
      <c r="K27" s="57"/>
      <c r="L27" s="57"/>
      <c r="M27" s="57"/>
      <c r="N27" s="58"/>
      <c r="O27" s="58"/>
      <c r="P27" s="58"/>
      <c r="Q27" s="58"/>
      <c r="R27" s="58"/>
      <c r="S27" s="58"/>
      <c r="T27" s="58"/>
      <c r="U27" s="58"/>
    </row>
    <row r="28" spans="1:21" s="59" customFormat="1" ht="14.25" customHeight="1" x14ac:dyDescent="0.25">
      <c r="A28" s="60"/>
      <c r="B28" s="76" t="s">
        <v>50</v>
      </c>
      <c r="C28" s="77" t="s">
        <v>52</v>
      </c>
      <c r="D28" s="63">
        <v>200000</v>
      </c>
      <c r="E28" s="63">
        <v>5</v>
      </c>
      <c r="F28" s="63">
        <v>1</v>
      </c>
      <c r="G28" s="64">
        <f>E28*D28</f>
        <v>1000000</v>
      </c>
      <c r="H28" s="55"/>
      <c r="I28" s="56"/>
      <c r="J28" s="56"/>
      <c r="K28" s="57"/>
      <c r="L28" s="57"/>
      <c r="M28" s="57"/>
      <c r="N28" s="58"/>
      <c r="O28" s="58"/>
      <c r="P28" s="58"/>
      <c r="Q28" s="58"/>
      <c r="R28" s="58"/>
      <c r="S28" s="58"/>
      <c r="T28" s="58"/>
      <c r="U28" s="58"/>
    </row>
    <row r="29" spans="1:21" s="59" customFormat="1" ht="12" customHeight="1" x14ac:dyDescent="0.25">
      <c r="A29" s="66"/>
      <c r="C29" s="78" t="s">
        <v>53</v>
      </c>
      <c r="D29" s="63">
        <v>80000</v>
      </c>
      <c r="E29" s="63">
        <v>1</v>
      </c>
      <c r="F29" s="63">
        <v>1</v>
      </c>
      <c r="G29" s="64">
        <f>D29*E29*F29</f>
        <v>80000</v>
      </c>
      <c r="H29" s="55"/>
      <c r="I29" s="68"/>
      <c r="J29" s="56"/>
      <c r="K29" s="57"/>
      <c r="L29" s="57"/>
      <c r="M29" s="57"/>
      <c r="N29" s="58"/>
      <c r="O29" s="58"/>
      <c r="P29" s="58"/>
      <c r="Q29" s="58"/>
      <c r="R29" s="58"/>
      <c r="S29" s="58"/>
      <c r="T29" s="58"/>
      <c r="U29" s="58"/>
    </row>
    <row r="30" spans="1:21" s="59" customFormat="1" ht="12" customHeight="1" x14ac:dyDescent="0.25">
      <c r="A30" s="66"/>
      <c r="C30" s="78" t="s">
        <v>54</v>
      </c>
      <c r="D30" s="63">
        <v>80000</v>
      </c>
      <c r="E30" s="63">
        <v>4</v>
      </c>
      <c r="F30" s="63">
        <v>1</v>
      </c>
      <c r="G30" s="64">
        <f>D30*E30*F30</f>
        <v>320000</v>
      </c>
      <c r="H30" s="55"/>
      <c r="I30" s="68"/>
      <c r="J30" s="56"/>
      <c r="K30" s="57"/>
      <c r="L30" s="57"/>
      <c r="M30" s="57"/>
      <c r="N30" s="58"/>
      <c r="O30" s="58"/>
      <c r="P30" s="58"/>
      <c r="Q30" s="58"/>
      <c r="R30" s="58"/>
      <c r="S30" s="58"/>
      <c r="T30" s="58"/>
      <c r="U30" s="58"/>
    </row>
    <row r="31" spans="1:21" s="59" customFormat="1" ht="12" customHeight="1" x14ac:dyDescent="0.25">
      <c r="A31" s="66"/>
      <c r="C31" s="78" t="s">
        <v>55</v>
      </c>
      <c r="D31" s="63">
        <v>80000</v>
      </c>
      <c r="E31" s="63">
        <v>17</v>
      </c>
      <c r="F31" s="63">
        <v>1</v>
      </c>
      <c r="G31" s="64">
        <f>D31*E31*F31</f>
        <v>1360000</v>
      </c>
      <c r="H31" s="55"/>
      <c r="I31" s="68"/>
      <c r="J31" s="56"/>
      <c r="K31" s="57"/>
      <c r="L31" s="57"/>
      <c r="M31" s="57"/>
      <c r="N31" s="58"/>
      <c r="O31" s="58"/>
      <c r="P31" s="58"/>
      <c r="Q31" s="58"/>
      <c r="R31" s="58"/>
      <c r="S31" s="58"/>
      <c r="T31" s="58"/>
      <c r="U31" s="58"/>
    </row>
    <row r="32" spans="1:21" s="59" customFormat="1" ht="25.5" customHeight="1" x14ac:dyDescent="0.25">
      <c r="A32" s="66"/>
      <c r="C32" s="79" t="s">
        <v>56</v>
      </c>
      <c r="D32" s="63">
        <v>350000</v>
      </c>
      <c r="E32" s="63">
        <v>50</v>
      </c>
      <c r="F32" s="63">
        <v>1</v>
      </c>
      <c r="G32" s="64">
        <f>D32*E32*F32</f>
        <v>17500000</v>
      </c>
      <c r="H32" s="55"/>
      <c r="I32" s="68"/>
      <c r="J32" s="56"/>
      <c r="K32" s="57"/>
      <c r="L32" s="57"/>
      <c r="M32" s="57"/>
      <c r="N32" s="58"/>
      <c r="O32" s="58"/>
      <c r="P32" s="58"/>
      <c r="Q32" s="58"/>
      <c r="R32" s="58"/>
      <c r="S32" s="58"/>
      <c r="T32" s="58"/>
      <c r="U32" s="58"/>
    </row>
    <row r="33" spans="1:21" s="59" customFormat="1" ht="12" customHeight="1" x14ac:dyDescent="0.25">
      <c r="A33" s="66"/>
      <c r="C33" s="77" t="s">
        <v>57</v>
      </c>
      <c r="D33" s="63">
        <v>40000</v>
      </c>
      <c r="E33" s="63">
        <v>7</v>
      </c>
      <c r="F33" s="63">
        <v>1</v>
      </c>
      <c r="G33" s="64">
        <f>F33*E33*D33</f>
        <v>280000</v>
      </c>
      <c r="H33" s="55"/>
      <c r="I33" s="68"/>
      <c r="J33" s="56"/>
      <c r="K33" s="57"/>
      <c r="L33" s="57"/>
      <c r="M33" s="57"/>
      <c r="N33" s="58"/>
      <c r="O33" s="58"/>
      <c r="P33" s="58"/>
      <c r="Q33" s="58"/>
      <c r="R33" s="58"/>
      <c r="S33" s="58"/>
      <c r="T33" s="58"/>
      <c r="U33" s="58"/>
    </row>
    <row r="34" spans="1:21" s="59" customFormat="1" ht="12" customHeight="1" x14ac:dyDescent="0.25">
      <c r="A34" s="66"/>
      <c r="B34" s="70"/>
      <c r="C34" s="77" t="s">
        <v>58</v>
      </c>
      <c r="D34" s="63">
        <v>5000</v>
      </c>
      <c r="E34" s="63">
        <v>50</v>
      </c>
      <c r="F34" s="63">
        <v>1</v>
      </c>
      <c r="G34" s="64">
        <f>F34*E34*D34</f>
        <v>250000</v>
      </c>
      <c r="H34" s="55"/>
      <c r="I34" s="68"/>
      <c r="J34" s="56"/>
      <c r="K34" s="57"/>
      <c r="L34" s="57"/>
      <c r="M34" s="57"/>
      <c r="N34" s="58"/>
      <c r="O34" s="58"/>
      <c r="P34" s="58"/>
      <c r="Q34" s="58"/>
      <c r="R34" s="58"/>
      <c r="S34" s="58"/>
      <c r="T34" s="58"/>
      <c r="U34" s="58"/>
    </row>
    <row r="35" spans="1:21" s="59" customFormat="1" ht="12" customHeight="1" x14ac:dyDescent="0.25">
      <c r="A35" s="66"/>
      <c r="B35" s="70"/>
      <c r="C35" s="77" t="s">
        <v>59</v>
      </c>
      <c r="D35" s="63">
        <v>55000</v>
      </c>
      <c r="E35" s="63">
        <v>50</v>
      </c>
      <c r="F35" s="63">
        <v>1</v>
      </c>
      <c r="G35" s="64">
        <f>F35*E35*D35</f>
        <v>2750000</v>
      </c>
      <c r="H35" s="55"/>
      <c r="I35" s="68"/>
      <c r="J35" s="56"/>
      <c r="K35" s="57"/>
      <c r="L35" s="57"/>
      <c r="M35" s="57"/>
      <c r="N35" s="58"/>
      <c r="O35" s="58"/>
      <c r="P35" s="58"/>
      <c r="Q35" s="58"/>
      <c r="R35" s="58"/>
      <c r="S35" s="58"/>
      <c r="T35" s="58"/>
      <c r="U35" s="58"/>
    </row>
    <row r="36" spans="1:21" s="59" customFormat="1" ht="12" customHeight="1" thickBot="1" x14ac:dyDescent="0.3">
      <c r="A36" s="66"/>
      <c r="B36" s="70"/>
      <c r="C36" s="77" t="s">
        <v>60</v>
      </c>
      <c r="D36" s="63">
        <v>37800</v>
      </c>
      <c r="E36" s="63">
        <v>50</v>
      </c>
      <c r="F36" s="63">
        <v>1</v>
      </c>
      <c r="G36" s="64">
        <f>F36*E36*D36</f>
        <v>1890000</v>
      </c>
      <c r="H36" s="55"/>
      <c r="I36" s="68"/>
      <c r="J36" s="56"/>
      <c r="K36" s="57"/>
      <c r="L36" s="57"/>
      <c r="M36" s="57"/>
      <c r="N36" s="58"/>
      <c r="O36" s="58"/>
      <c r="P36" s="58"/>
      <c r="Q36" s="58"/>
      <c r="R36" s="58"/>
      <c r="S36" s="58"/>
      <c r="T36" s="58"/>
      <c r="U36" s="58"/>
    </row>
    <row r="37" spans="1:21" s="59" customFormat="1" ht="12" customHeight="1" thickBot="1" x14ac:dyDescent="0.3">
      <c r="A37" s="66"/>
      <c r="B37" s="70"/>
      <c r="C37" s="80"/>
      <c r="D37" s="72"/>
      <c r="E37" s="72"/>
      <c r="F37" s="72"/>
      <c r="G37" s="73">
        <f>G36+G35+G34+G33+G32+G31+G30+G29+G28+G21</f>
        <v>25730000</v>
      </c>
      <c r="H37" s="74">
        <f>G37/8136</f>
        <v>3162.4877089478859</v>
      </c>
      <c r="I37" s="68"/>
      <c r="J37" s="56"/>
      <c r="K37" s="57"/>
      <c r="L37" s="57"/>
      <c r="M37" s="57"/>
      <c r="N37" s="58"/>
      <c r="O37" s="58"/>
      <c r="P37" s="58"/>
      <c r="Q37" s="58"/>
      <c r="R37" s="58"/>
      <c r="S37" s="58"/>
      <c r="T37" s="58"/>
      <c r="U37" s="58"/>
    </row>
    <row r="38" spans="1:21" s="59" customFormat="1" ht="7.5" customHeight="1" x14ac:dyDescent="0.25">
      <c r="A38" s="66"/>
      <c r="B38" s="71"/>
      <c r="C38" s="63"/>
      <c r="D38" s="63"/>
      <c r="E38" s="63"/>
      <c r="F38" s="63"/>
      <c r="G38" s="64"/>
      <c r="H38" s="55"/>
      <c r="I38" s="68"/>
      <c r="J38" s="56"/>
      <c r="K38" s="57"/>
      <c r="L38" s="57"/>
      <c r="M38" s="57"/>
      <c r="N38" s="58"/>
      <c r="O38" s="58"/>
      <c r="P38" s="58"/>
      <c r="Q38" s="58"/>
      <c r="R38" s="58"/>
      <c r="S38" s="58"/>
      <c r="T38" s="58"/>
      <c r="U38" s="58"/>
    </row>
    <row r="39" spans="1:21" s="87" customFormat="1" ht="19.5" customHeight="1" thickBot="1" x14ac:dyDescent="0.3">
      <c r="A39" s="81" t="s">
        <v>65</v>
      </c>
      <c r="B39" s="752" t="s">
        <v>66</v>
      </c>
      <c r="C39" s="752"/>
      <c r="D39" s="82"/>
      <c r="E39" s="82"/>
      <c r="F39" s="82"/>
      <c r="G39" s="83"/>
      <c r="H39" s="55"/>
      <c r="I39" s="84"/>
      <c r="J39" s="55"/>
      <c r="K39" s="85"/>
      <c r="L39" s="85"/>
      <c r="M39" s="85"/>
      <c r="N39" s="86"/>
      <c r="O39" s="86"/>
      <c r="P39" s="86"/>
      <c r="Q39" s="86"/>
      <c r="R39" s="86"/>
      <c r="S39" s="86"/>
      <c r="T39" s="86"/>
      <c r="U39" s="86"/>
    </row>
    <row r="40" spans="1:21" s="59" customFormat="1" ht="24.75" customHeight="1" x14ac:dyDescent="0.25">
      <c r="A40" s="50">
        <v>2.1</v>
      </c>
      <c r="B40" s="88" t="s">
        <v>67</v>
      </c>
      <c r="C40" s="52" t="s">
        <v>39</v>
      </c>
      <c r="D40" s="53">
        <v>150000</v>
      </c>
      <c r="E40" s="53">
        <v>1</v>
      </c>
      <c r="F40" s="53">
        <v>1</v>
      </c>
      <c r="G40" s="54">
        <f t="shared" ref="G40:G52" si="3">D40*E40*F40</f>
        <v>150000</v>
      </c>
      <c r="H40" s="55"/>
      <c r="I40" s="68"/>
      <c r="J40" s="56"/>
      <c r="K40" s="57"/>
      <c r="L40" s="57"/>
      <c r="M40" s="57"/>
      <c r="N40" s="58"/>
      <c r="O40" s="58"/>
      <c r="P40" s="58"/>
      <c r="Q40" s="58"/>
      <c r="R40" s="58"/>
      <c r="S40" s="58"/>
      <c r="T40" s="58"/>
      <c r="U40" s="58"/>
    </row>
    <row r="41" spans="1:21" s="59" customFormat="1" ht="12" hidden="1" customHeight="1" x14ac:dyDescent="0.25">
      <c r="A41" s="66"/>
      <c r="B41" s="70" t="s">
        <v>50</v>
      </c>
      <c r="C41" s="89" t="s">
        <v>68</v>
      </c>
      <c r="D41" s="63">
        <v>8000</v>
      </c>
      <c r="E41" s="63">
        <v>40</v>
      </c>
      <c r="F41" s="63">
        <v>10</v>
      </c>
      <c r="G41" s="90">
        <f t="shared" si="3"/>
        <v>3200000</v>
      </c>
      <c r="H41" s="55"/>
      <c r="I41" s="56"/>
      <c r="J41" s="56"/>
      <c r="K41" s="57"/>
      <c r="L41" s="57"/>
      <c r="M41" s="57"/>
      <c r="N41" s="58"/>
      <c r="O41" s="58"/>
      <c r="P41" s="58"/>
      <c r="Q41" s="58"/>
      <c r="R41" s="58"/>
      <c r="S41" s="58"/>
      <c r="T41" s="58"/>
      <c r="U41" s="58"/>
    </row>
    <row r="42" spans="1:21" s="49" customFormat="1" ht="12" customHeight="1" x14ac:dyDescent="0.25">
      <c r="A42" s="91"/>
      <c r="B42" s="76" t="s">
        <v>69</v>
      </c>
      <c r="C42" s="77" t="s">
        <v>70</v>
      </c>
      <c r="D42" s="92"/>
      <c r="E42" s="92">
        <v>1</v>
      </c>
      <c r="F42" s="92">
        <v>1</v>
      </c>
      <c r="G42" s="93">
        <f t="shared" si="3"/>
        <v>0</v>
      </c>
      <c r="H42" s="94"/>
      <c r="I42" s="48"/>
      <c r="J42" s="48"/>
      <c r="K42" s="48"/>
      <c r="L42" s="48"/>
      <c r="M42" s="48"/>
    </row>
    <row r="43" spans="1:21" s="49" customFormat="1" ht="21.75" customHeight="1" x14ac:dyDescent="0.25">
      <c r="A43" s="91"/>
      <c r="B43" s="76" t="s">
        <v>71</v>
      </c>
      <c r="C43" s="77" t="s">
        <v>72</v>
      </c>
      <c r="D43" s="92"/>
      <c r="E43" s="92">
        <v>2</v>
      </c>
      <c r="F43" s="92">
        <v>1</v>
      </c>
      <c r="G43" s="93">
        <f t="shared" si="3"/>
        <v>0</v>
      </c>
      <c r="H43" s="94"/>
      <c r="I43" s="48"/>
      <c r="J43" s="48"/>
      <c r="K43" s="48"/>
      <c r="L43" s="48"/>
      <c r="M43" s="48"/>
    </row>
    <row r="44" spans="1:21" s="49" customFormat="1" ht="12" customHeight="1" x14ac:dyDescent="0.25">
      <c r="A44" s="91"/>
      <c r="B44" s="76" t="s">
        <v>73</v>
      </c>
      <c r="C44" s="77" t="s">
        <v>47</v>
      </c>
      <c r="D44" s="92"/>
      <c r="E44" s="92">
        <v>12</v>
      </c>
      <c r="F44" s="92">
        <v>1</v>
      </c>
      <c r="G44" s="93">
        <f t="shared" si="3"/>
        <v>0</v>
      </c>
      <c r="H44" s="94"/>
      <c r="I44" s="48"/>
      <c r="J44" s="48"/>
      <c r="K44" s="48"/>
      <c r="L44" s="48"/>
      <c r="M44" s="48"/>
    </row>
    <row r="45" spans="1:21" s="49" customFormat="1" ht="12" customHeight="1" x14ac:dyDescent="0.25">
      <c r="A45" s="91"/>
      <c r="B45" s="76" t="s">
        <v>74</v>
      </c>
      <c r="C45" s="77" t="s">
        <v>75</v>
      </c>
      <c r="D45" s="92"/>
      <c r="E45" s="92">
        <v>4</v>
      </c>
      <c r="F45" s="92">
        <v>1</v>
      </c>
      <c r="G45" s="93">
        <f t="shared" si="3"/>
        <v>0</v>
      </c>
      <c r="H45" s="94"/>
      <c r="I45" s="48"/>
      <c r="J45" s="48"/>
      <c r="K45" s="48"/>
      <c r="L45" s="48"/>
      <c r="M45" s="48"/>
    </row>
    <row r="46" spans="1:21" s="49" customFormat="1" ht="12" customHeight="1" x14ac:dyDescent="0.25">
      <c r="A46" s="91"/>
      <c r="B46" s="76" t="s">
        <v>76</v>
      </c>
      <c r="C46" s="77" t="s">
        <v>77</v>
      </c>
      <c r="D46" s="92"/>
      <c r="E46" s="92">
        <v>4</v>
      </c>
      <c r="F46" s="92">
        <v>1</v>
      </c>
      <c r="G46" s="93">
        <f t="shared" si="3"/>
        <v>0</v>
      </c>
      <c r="H46" s="94"/>
      <c r="I46" s="48"/>
      <c r="J46" s="48"/>
      <c r="K46" s="48"/>
      <c r="L46" s="48"/>
      <c r="M46" s="48"/>
    </row>
    <row r="47" spans="1:21" s="49" customFormat="1" ht="12" customHeight="1" x14ac:dyDescent="0.25">
      <c r="A47" s="91"/>
      <c r="B47" s="76" t="s">
        <v>78</v>
      </c>
      <c r="C47" s="77" t="s">
        <v>79</v>
      </c>
      <c r="D47" s="92"/>
      <c r="E47" s="92">
        <v>4</v>
      </c>
      <c r="F47" s="92">
        <v>1</v>
      </c>
      <c r="G47" s="93">
        <f t="shared" si="3"/>
        <v>0</v>
      </c>
      <c r="H47" s="94"/>
      <c r="I47" s="48"/>
      <c r="J47" s="48"/>
      <c r="K47" s="48"/>
      <c r="L47" s="48"/>
      <c r="M47" s="48"/>
    </row>
    <row r="48" spans="1:21" s="49" customFormat="1" ht="12" customHeight="1" x14ac:dyDescent="0.25">
      <c r="A48" s="91"/>
      <c r="B48" s="76" t="s">
        <v>80</v>
      </c>
      <c r="C48" s="77" t="s">
        <v>81</v>
      </c>
      <c r="D48" s="92"/>
      <c r="E48" s="92">
        <v>3</v>
      </c>
      <c r="F48" s="92">
        <v>1</v>
      </c>
      <c r="G48" s="93">
        <f t="shared" si="3"/>
        <v>0</v>
      </c>
      <c r="H48" s="94"/>
      <c r="I48" s="48"/>
      <c r="J48" s="48"/>
      <c r="K48" s="48"/>
      <c r="L48" s="48"/>
      <c r="M48" s="48"/>
    </row>
    <row r="49" spans="1:21" s="49" customFormat="1" ht="12" customHeight="1" x14ac:dyDescent="0.25">
      <c r="A49" s="91"/>
      <c r="B49" s="76" t="s">
        <v>82</v>
      </c>
      <c r="C49" s="77" t="s">
        <v>83</v>
      </c>
      <c r="D49" s="92"/>
      <c r="E49" s="92">
        <v>3</v>
      </c>
      <c r="F49" s="92">
        <v>1</v>
      </c>
      <c r="G49" s="93">
        <f t="shared" si="3"/>
        <v>0</v>
      </c>
      <c r="H49" s="94"/>
      <c r="I49" s="48"/>
      <c r="J49" s="48"/>
      <c r="K49" s="48"/>
      <c r="L49" s="48"/>
      <c r="M49" s="48"/>
    </row>
    <row r="50" spans="1:21" s="49" customFormat="1" ht="12" customHeight="1" x14ac:dyDescent="0.25">
      <c r="A50" s="91"/>
      <c r="B50" s="95"/>
      <c r="C50" s="77" t="s">
        <v>84</v>
      </c>
      <c r="D50" s="92"/>
      <c r="E50" s="92">
        <v>16</v>
      </c>
      <c r="F50" s="92">
        <v>1</v>
      </c>
      <c r="G50" s="93">
        <f t="shared" si="3"/>
        <v>0</v>
      </c>
      <c r="H50" s="94"/>
      <c r="I50" s="48"/>
      <c r="J50" s="48"/>
      <c r="K50" s="48"/>
      <c r="L50" s="48"/>
      <c r="M50" s="48"/>
    </row>
    <row r="51" spans="1:21" s="49" customFormat="1" ht="12" customHeight="1" x14ac:dyDescent="0.25">
      <c r="A51" s="91"/>
      <c r="B51" s="95"/>
      <c r="C51" s="77" t="s">
        <v>85</v>
      </c>
      <c r="D51" s="92"/>
      <c r="E51" s="92">
        <v>1</v>
      </c>
      <c r="F51" s="92">
        <v>1</v>
      </c>
      <c r="G51" s="93">
        <f t="shared" si="3"/>
        <v>0</v>
      </c>
      <c r="H51" s="94"/>
      <c r="I51" s="48"/>
      <c r="J51" s="48"/>
      <c r="K51" s="48"/>
      <c r="L51" s="48"/>
      <c r="M51" s="48"/>
    </row>
    <row r="52" spans="1:21" s="49" customFormat="1" ht="12" customHeight="1" x14ac:dyDescent="0.25">
      <c r="A52" s="91"/>
      <c r="B52" s="95"/>
      <c r="C52" s="77" t="s">
        <v>86</v>
      </c>
      <c r="D52" s="92"/>
      <c r="E52" s="92">
        <v>6</v>
      </c>
      <c r="F52" s="92">
        <v>1</v>
      </c>
      <c r="G52" s="93">
        <f t="shared" si="3"/>
        <v>0</v>
      </c>
      <c r="H52" s="94"/>
      <c r="I52" s="48"/>
      <c r="J52" s="48"/>
      <c r="K52" s="48"/>
      <c r="L52" s="48"/>
      <c r="M52" s="48"/>
    </row>
    <row r="53" spans="1:21" s="97" customFormat="1" ht="12" customHeight="1" x14ac:dyDescent="0.25">
      <c r="A53" s="91"/>
      <c r="B53" s="95"/>
      <c r="C53" s="77" t="s">
        <v>87</v>
      </c>
      <c r="D53" s="92">
        <f>80000</f>
        <v>80000</v>
      </c>
      <c r="E53" s="92">
        <v>2</v>
      </c>
      <c r="F53" s="92">
        <v>1</v>
      </c>
      <c r="G53" s="93">
        <f t="shared" ref="G53:G61" si="4">E53*D53</f>
        <v>160000</v>
      </c>
      <c r="H53" s="94"/>
      <c r="I53" s="96"/>
      <c r="J53" s="96"/>
      <c r="K53" s="96"/>
      <c r="L53" s="96"/>
      <c r="M53" s="96"/>
    </row>
    <row r="54" spans="1:21" s="97" customFormat="1" ht="12" customHeight="1" x14ac:dyDescent="0.25">
      <c r="A54" s="91"/>
      <c r="B54" s="95"/>
      <c r="C54" s="77" t="s">
        <v>88</v>
      </c>
      <c r="D54" s="92">
        <v>80000</v>
      </c>
      <c r="E54" s="92">
        <v>4</v>
      </c>
      <c r="F54" s="92">
        <v>1</v>
      </c>
      <c r="G54" s="93">
        <f t="shared" si="4"/>
        <v>320000</v>
      </c>
      <c r="H54" s="94"/>
      <c r="I54" s="96"/>
      <c r="J54" s="96"/>
      <c r="K54" s="96"/>
      <c r="L54" s="96"/>
      <c r="M54" s="96"/>
    </row>
    <row r="55" spans="1:21" s="97" customFormat="1" ht="12" customHeight="1" x14ac:dyDescent="0.25">
      <c r="A55" s="91"/>
      <c r="B55" s="95"/>
      <c r="C55" s="77" t="s">
        <v>89</v>
      </c>
      <c r="D55" s="92">
        <v>80000</v>
      </c>
      <c r="E55" s="92">
        <v>4</v>
      </c>
      <c r="F55" s="92">
        <v>1</v>
      </c>
      <c r="G55" s="93">
        <f t="shared" si="4"/>
        <v>320000</v>
      </c>
      <c r="H55" s="94"/>
      <c r="I55" s="96"/>
      <c r="J55" s="96"/>
      <c r="K55" s="96"/>
      <c r="L55" s="96"/>
      <c r="M55" s="96"/>
    </row>
    <row r="56" spans="1:21" s="97" customFormat="1" ht="12" customHeight="1" x14ac:dyDescent="0.25">
      <c r="A56" s="91"/>
      <c r="B56" s="95"/>
      <c r="C56" s="77" t="s">
        <v>90</v>
      </c>
      <c r="D56" s="92">
        <v>80000</v>
      </c>
      <c r="E56" s="92">
        <v>4</v>
      </c>
      <c r="F56" s="92">
        <v>1</v>
      </c>
      <c r="G56" s="93">
        <f t="shared" si="4"/>
        <v>320000</v>
      </c>
      <c r="H56" s="94"/>
      <c r="I56" s="96"/>
      <c r="J56" s="96"/>
      <c r="K56" s="96"/>
      <c r="L56" s="96"/>
      <c r="M56" s="96"/>
    </row>
    <row r="57" spans="1:21" s="97" customFormat="1" ht="12" customHeight="1" x14ac:dyDescent="0.25">
      <c r="A57" s="91"/>
      <c r="B57" s="95"/>
      <c r="C57" s="77" t="s">
        <v>91</v>
      </c>
      <c r="D57" s="92">
        <v>80000</v>
      </c>
      <c r="E57" s="92">
        <v>3</v>
      </c>
      <c r="F57" s="92">
        <v>1</v>
      </c>
      <c r="G57" s="93">
        <f t="shared" si="4"/>
        <v>240000</v>
      </c>
      <c r="H57" s="94"/>
      <c r="I57" s="96"/>
      <c r="J57" s="96"/>
      <c r="K57" s="96"/>
      <c r="L57" s="96"/>
      <c r="M57" s="96"/>
    </row>
    <row r="58" spans="1:21" s="97" customFormat="1" ht="12" customHeight="1" x14ac:dyDescent="0.25">
      <c r="A58" s="91"/>
      <c r="B58" s="95"/>
      <c r="C58" s="77" t="s">
        <v>92</v>
      </c>
      <c r="D58" s="92">
        <v>80000</v>
      </c>
      <c r="E58" s="92">
        <v>3</v>
      </c>
      <c r="F58" s="92">
        <v>1</v>
      </c>
      <c r="G58" s="93">
        <f t="shared" si="4"/>
        <v>240000</v>
      </c>
      <c r="H58" s="94"/>
      <c r="I58" s="96"/>
      <c r="J58" s="96"/>
      <c r="K58" s="96"/>
      <c r="L58" s="96"/>
      <c r="M58" s="96"/>
    </row>
    <row r="59" spans="1:21" s="97" customFormat="1" ht="12" customHeight="1" x14ac:dyDescent="0.25">
      <c r="A59" s="91"/>
      <c r="B59" s="95"/>
      <c r="C59" s="77" t="s">
        <v>93</v>
      </c>
      <c r="D59" s="92">
        <v>80000</v>
      </c>
      <c r="E59" s="92">
        <v>16</v>
      </c>
      <c r="F59" s="92">
        <v>1</v>
      </c>
      <c r="G59" s="93">
        <f t="shared" si="4"/>
        <v>1280000</v>
      </c>
      <c r="H59" s="94"/>
      <c r="I59" s="96"/>
      <c r="J59" s="96"/>
      <c r="K59" s="96"/>
      <c r="L59" s="96"/>
      <c r="M59" s="96"/>
    </row>
    <row r="60" spans="1:21" s="97" customFormat="1" ht="12" customHeight="1" x14ac:dyDescent="0.25">
      <c r="A60" s="91"/>
      <c r="B60" s="95"/>
      <c r="C60" s="77" t="s">
        <v>94</v>
      </c>
      <c r="D60" s="92">
        <v>80000</v>
      </c>
      <c r="E60" s="92">
        <v>6</v>
      </c>
      <c r="F60" s="92">
        <v>1</v>
      </c>
      <c r="G60" s="93">
        <f t="shared" si="4"/>
        <v>480000</v>
      </c>
      <c r="H60" s="94"/>
      <c r="I60" s="96"/>
      <c r="J60" s="96"/>
      <c r="K60" s="96"/>
      <c r="L60" s="96"/>
      <c r="M60" s="96"/>
    </row>
    <row r="61" spans="1:21" s="97" customFormat="1" ht="12" customHeight="1" x14ac:dyDescent="0.25">
      <c r="A61" s="91"/>
      <c r="B61" s="95"/>
      <c r="C61" s="77" t="s">
        <v>95</v>
      </c>
      <c r="D61" s="92">
        <v>80000</v>
      </c>
      <c r="E61" s="92">
        <v>1</v>
      </c>
      <c r="F61" s="92">
        <v>1</v>
      </c>
      <c r="G61" s="93">
        <f t="shared" si="4"/>
        <v>80000</v>
      </c>
      <c r="H61" s="94"/>
      <c r="I61" s="96"/>
      <c r="J61" s="96"/>
      <c r="K61" s="96"/>
      <c r="L61" s="96"/>
      <c r="M61" s="96"/>
    </row>
    <row r="62" spans="1:21" s="59" customFormat="1" ht="15" customHeight="1" x14ac:dyDescent="0.25">
      <c r="A62" s="66"/>
      <c r="C62" s="79" t="s">
        <v>96</v>
      </c>
      <c r="D62" s="63">
        <v>2000000</v>
      </c>
      <c r="E62" s="63">
        <v>1</v>
      </c>
      <c r="F62" s="63">
        <v>3</v>
      </c>
      <c r="G62" s="64">
        <f>D62*E62*F62</f>
        <v>6000000</v>
      </c>
      <c r="H62" s="55"/>
      <c r="I62" s="56"/>
      <c r="J62" s="56"/>
      <c r="K62" s="57"/>
      <c r="L62" s="57"/>
      <c r="M62" s="57"/>
      <c r="N62" s="58"/>
      <c r="O62" s="58"/>
      <c r="P62" s="58"/>
      <c r="Q62" s="58"/>
      <c r="R62" s="58"/>
      <c r="S62" s="58"/>
      <c r="T62" s="58"/>
      <c r="U62" s="58"/>
    </row>
    <row r="63" spans="1:21" s="59" customFormat="1" ht="15" customHeight="1" x14ac:dyDescent="0.25">
      <c r="A63" s="66"/>
      <c r="C63" s="79" t="s">
        <v>97</v>
      </c>
      <c r="D63" s="63">
        <v>20000</v>
      </c>
      <c r="E63" s="63">
        <v>56</v>
      </c>
      <c r="F63" s="63">
        <v>3</v>
      </c>
      <c r="G63" s="64">
        <f>D63*E63*F63</f>
        <v>3360000</v>
      </c>
      <c r="H63" s="55"/>
      <c r="I63" s="56"/>
      <c r="J63" s="56"/>
      <c r="K63" s="57"/>
      <c r="L63" s="57"/>
      <c r="M63" s="57"/>
      <c r="N63" s="58"/>
      <c r="O63" s="58"/>
      <c r="P63" s="58"/>
      <c r="Q63" s="58"/>
      <c r="R63" s="58"/>
      <c r="S63" s="58"/>
      <c r="T63" s="58"/>
      <c r="U63" s="58"/>
    </row>
    <row r="64" spans="1:21" s="59" customFormat="1" ht="12" customHeight="1" x14ac:dyDescent="0.25">
      <c r="A64" s="66"/>
      <c r="B64" s="70"/>
      <c r="C64" s="77" t="s">
        <v>60</v>
      </c>
      <c r="D64" s="63">
        <v>14286</v>
      </c>
      <c r="E64" s="63">
        <v>56</v>
      </c>
      <c r="F64" s="63">
        <v>1</v>
      </c>
      <c r="G64" s="64">
        <v>800000</v>
      </c>
      <c r="H64" s="55"/>
      <c r="I64" s="56"/>
      <c r="J64" s="56"/>
      <c r="K64" s="57"/>
      <c r="L64" s="57"/>
      <c r="M64" s="57"/>
      <c r="N64" s="58"/>
      <c r="O64" s="58"/>
      <c r="P64" s="58"/>
      <c r="Q64" s="58"/>
      <c r="R64" s="58"/>
      <c r="S64" s="58"/>
      <c r="T64" s="58"/>
      <c r="U64" s="58"/>
    </row>
    <row r="65" spans="1:21" s="59" customFormat="1" ht="12" customHeight="1" x14ac:dyDescent="0.25">
      <c r="A65" s="66"/>
      <c r="B65" s="70"/>
      <c r="C65" s="77" t="s">
        <v>57</v>
      </c>
      <c r="D65" s="63">
        <v>40000</v>
      </c>
      <c r="E65" s="63">
        <v>7</v>
      </c>
      <c r="F65" s="63">
        <v>3</v>
      </c>
      <c r="G65" s="64">
        <f>F65*E65*D65</f>
        <v>840000</v>
      </c>
      <c r="H65" s="55"/>
      <c r="I65" s="56"/>
      <c r="J65" s="56"/>
      <c r="K65" s="57"/>
      <c r="L65" s="57"/>
      <c r="M65" s="57"/>
      <c r="N65" s="58"/>
      <c r="O65" s="58"/>
      <c r="P65" s="58"/>
      <c r="Q65" s="58"/>
      <c r="R65" s="58"/>
      <c r="S65" s="58"/>
      <c r="T65" s="58"/>
      <c r="U65" s="58"/>
    </row>
    <row r="66" spans="1:21" s="59" customFormat="1" ht="12" customHeight="1" x14ac:dyDescent="0.25">
      <c r="A66" s="66"/>
      <c r="B66" s="70"/>
      <c r="C66" s="77" t="s">
        <v>98</v>
      </c>
      <c r="D66" s="63">
        <v>400000</v>
      </c>
      <c r="E66" s="63">
        <v>1</v>
      </c>
      <c r="F66" s="63">
        <v>1</v>
      </c>
      <c r="G66" s="64">
        <f>E66*D66</f>
        <v>400000</v>
      </c>
      <c r="H66" s="55"/>
      <c r="I66" s="56"/>
      <c r="J66" s="56"/>
      <c r="K66" s="57"/>
      <c r="L66" s="57"/>
      <c r="M66" s="57"/>
      <c r="N66" s="58"/>
      <c r="O66" s="58"/>
      <c r="P66" s="58"/>
      <c r="Q66" s="58"/>
      <c r="R66" s="58"/>
      <c r="S66" s="58"/>
      <c r="T66" s="58"/>
      <c r="U66" s="58"/>
    </row>
    <row r="67" spans="1:21" s="59" customFormat="1" ht="12" customHeight="1" x14ac:dyDescent="0.25">
      <c r="A67" s="66"/>
      <c r="B67" s="70"/>
      <c r="C67" s="77" t="s">
        <v>99</v>
      </c>
      <c r="D67" s="63">
        <v>8000</v>
      </c>
      <c r="E67" s="63">
        <v>56</v>
      </c>
      <c r="F67" s="63">
        <v>1</v>
      </c>
      <c r="G67" s="64">
        <f>E67*D67</f>
        <v>448000</v>
      </c>
      <c r="H67" s="55"/>
      <c r="I67" s="56"/>
      <c r="J67" s="56"/>
      <c r="K67" s="57"/>
      <c r="L67" s="57"/>
      <c r="M67" s="57"/>
      <c r="N67" s="58"/>
      <c r="O67" s="58"/>
      <c r="P67" s="58"/>
      <c r="Q67" s="58"/>
      <c r="R67" s="58"/>
      <c r="S67" s="58"/>
      <c r="T67" s="58"/>
      <c r="U67" s="58"/>
    </row>
    <row r="68" spans="1:21" s="59" customFormat="1" ht="12" customHeight="1" x14ac:dyDescent="0.25">
      <c r="A68" s="66"/>
      <c r="B68" s="70"/>
      <c r="C68" s="77" t="s">
        <v>59</v>
      </c>
      <c r="D68" s="63">
        <v>50000</v>
      </c>
      <c r="E68" s="63">
        <v>20</v>
      </c>
      <c r="F68" s="63">
        <v>1</v>
      </c>
      <c r="G68" s="64">
        <f>F68*E68*D68</f>
        <v>1000000</v>
      </c>
      <c r="H68" s="55"/>
      <c r="I68" s="56"/>
      <c r="J68" s="56"/>
      <c r="K68" s="57"/>
      <c r="L68" s="57"/>
      <c r="M68" s="57"/>
      <c r="N68" s="58"/>
      <c r="O68" s="58"/>
      <c r="P68" s="58"/>
      <c r="Q68" s="58"/>
      <c r="R68" s="58"/>
      <c r="S68" s="58"/>
      <c r="T68" s="58"/>
      <c r="U68" s="58"/>
    </row>
    <row r="69" spans="1:21" s="59" customFormat="1" ht="12" customHeight="1" thickBot="1" x14ac:dyDescent="0.3">
      <c r="A69" s="66"/>
      <c r="B69" s="70"/>
      <c r="C69" s="77"/>
      <c r="D69" s="63"/>
      <c r="E69" s="63"/>
      <c r="F69" s="63"/>
      <c r="G69" s="64"/>
      <c r="H69" s="55"/>
      <c r="I69" s="56"/>
      <c r="J69" s="56"/>
      <c r="K69" s="57"/>
      <c r="L69" s="57"/>
      <c r="M69" s="57"/>
      <c r="N69" s="58"/>
      <c r="O69" s="58"/>
      <c r="P69" s="58"/>
      <c r="Q69" s="58"/>
      <c r="R69" s="58"/>
      <c r="S69" s="58"/>
      <c r="T69" s="58"/>
      <c r="U69" s="58"/>
    </row>
    <row r="70" spans="1:21" s="59" customFormat="1" ht="12" customHeight="1" thickBot="1" x14ac:dyDescent="0.3">
      <c r="A70" s="66"/>
      <c r="B70" s="70"/>
      <c r="C70" s="72"/>
      <c r="D70" s="72"/>
      <c r="E70" s="72"/>
      <c r="F70" s="72"/>
      <c r="G70" s="73">
        <f>G68+G67+G66+G65+G64+G63+G62+G61+G60+G59+G58+G57+G56+G55+G54+G53+G40</f>
        <v>16438000</v>
      </c>
      <c r="H70" s="74">
        <f>G70/8136</f>
        <v>2020.4031465093412</v>
      </c>
      <c r="I70" s="56"/>
      <c r="J70" s="56"/>
      <c r="K70" s="57"/>
      <c r="L70" s="57"/>
      <c r="M70" s="57"/>
      <c r="N70" s="58"/>
      <c r="O70" s="58"/>
      <c r="P70" s="58"/>
      <c r="Q70" s="58"/>
      <c r="R70" s="58"/>
      <c r="S70" s="58"/>
      <c r="T70" s="58"/>
      <c r="U70" s="58"/>
    </row>
    <row r="71" spans="1:21" s="59" customFormat="1" ht="12" customHeight="1" thickBot="1" x14ac:dyDescent="0.3">
      <c r="A71" s="66"/>
      <c r="B71" s="98"/>
      <c r="C71" s="63"/>
      <c r="D71" s="63"/>
      <c r="E71" s="63"/>
      <c r="F71" s="63"/>
      <c r="G71" s="64"/>
      <c r="H71" s="55"/>
      <c r="I71" s="56"/>
      <c r="J71" s="56"/>
      <c r="K71" s="57"/>
      <c r="L71" s="57"/>
      <c r="M71" s="57"/>
      <c r="N71" s="58"/>
      <c r="O71" s="58"/>
      <c r="P71" s="58"/>
      <c r="Q71" s="58"/>
      <c r="R71" s="58"/>
      <c r="S71" s="58"/>
      <c r="T71" s="58"/>
      <c r="U71" s="58"/>
    </row>
    <row r="72" spans="1:21" s="102" customFormat="1" ht="24.75" customHeight="1" x14ac:dyDescent="0.25">
      <c r="A72" s="50">
        <v>2.2000000000000002</v>
      </c>
      <c r="B72" s="99" t="s">
        <v>100</v>
      </c>
      <c r="C72" s="52" t="s">
        <v>39</v>
      </c>
      <c r="D72" s="53">
        <v>300000</v>
      </c>
      <c r="E72" s="53">
        <v>1</v>
      </c>
      <c r="F72" s="53">
        <v>1</v>
      </c>
      <c r="G72" s="54">
        <f t="shared" ref="G72:G84" si="5">D72*E72*F72</f>
        <v>300000</v>
      </c>
      <c r="H72" s="84"/>
      <c r="I72" s="68"/>
      <c r="J72" s="68"/>
      <c r="K72" s="100"/>
      <c r="L72" s="100"/>
      <c r="M72" s="100"/>
      <c r="N72" s="101"/>
      <c r="O72" s="101"/>
      <c r="P72" s="101"/>
      <c r="Q72" s="101"/>
      <c r="R72" s="101"/>
      <c r="S72" s="101"/>
      <c r="T72" s="101"/>
      <c r="U72" s="101"/>
    </row>
    <row r="73" spans="1:21" s="102" customFormat="1" ht="12" hidden="1" customHeight="1" x14ac:dyDescent="0.25">
      <c r="A73" s="66"/>
      <c r="B73" s="70" t="s">
        <v>50</v>
      </c>
      <c r="C73" s="89" t="s">
        <v>68</v>
      </c>
      <c r="D73" s="63">
        <v>8000</v>
      </c>
      <c r="E73" s="63">
        <v>40</v>
      </c>
      <c r="F73" s="63">
        <v>10</v>
      </c>
      <c r="G73" s="64">
        <f t="shared" si="5"/>
        <v>3200000</v>
      </c>
      <c r="H73" s="84" t="e">
        <f>G73+#REF!</f>
        <v>#REF!</v>
      </c>
      <c r="I73" s="68"/>
      <c r="J73" s="68"/>
      <c r="K73" s="100"/>
      <c r="L73" s="100"/>
      <c r="M73" s="100"/>
      <c r="N73" s="101"/>
      <c r="O73" s="101"/>
      <c r="P73" s="101"/>
      <c r="Q73" s="101"/>
      <c r="R73" s="101"/>
      <c r="S73" s="101"/>
      <c r="T73" s="101"/>
      <c r="U73" s="101"/>
    </row>
    <row r="74" spans="1:21" s="97" customFormat="1" ht="12" customHeight="1" x14ac:dyDescent="0.25">
      <c r="A74" s="91"/>
      <c r="B74" s="76" t="s">
        <v>69</v>
      </c>
      <c r="C74" s="77" t="s">
        <v>70</v>
      </c>
      <c r="D74" s="92"/>
      <c r="E74" s="92">
        <v>1</v>
      </c>
      <c r="F74" s="92">
        <v>1</v>
      </c>
      <c r="G74" s="93">
        <f t="shared" si="5"/>
        <v>0</v>
      </c>
      <c r="H74" s="94"/>
      <c r="I74" s="96"/>
      <c r="J74" s="96"/>
      <c r="K74" s="96"/>
      <c r="L74" s="96"/>
      <c r="M74" s="96"/>
    </row>
    <row r="75" spans="1:21" s="97" customFormat="1" ht="21.75" customHeight="1" x14ac:dyDescent="0.25">
      <c r="A75" s="91"/>
      <c r="B75" s="76" t="s">
        <v>101</v>
      </c>
      <c r="C75" s="77" t="s">
        <v>72</v>
      </c>
      <c r="D75" s="92"/>
      <c r="E75" s="92">
        <v>2</v>
      </c>
      <c r="F75" s="92">
        <v>1</v>
      </c>
      <c r="G75" s="93">
        <f t="shared" si="5"/>
        <v>0</v>
      </c>
      <c r="H75" s="94"/>
      <c r="I75" s="96"/>
      <c r="J75" s="96"/>
      <c r="K75" s="96"/>
      <c r="L75" s="96"/>
      <c r="M75" s="96"/>
    </row>
    <row r="76" spans="1:21" s="97" customFormat="1" ht="12" customHeight="1" x14ac:dyDescent="0.25">
      <c r="A76" s="91"/>
      <c r="B76" s="76" t="s">
        <v>73</v>
      </c>
      <c r="C76" s="77" t="s">
        <v>47</v>
      </c>
      <c r="D76" s="92"/>
      <c r="E76" s="92">
        <v>9</v>
      </c>
      <c r="F76" s="92">
        <v>1</v>
      </c>
      <c r="G76" s="93">
        <f t="shared" si="5"/>
        <v>0</v>
      </c>
      <c r="H76" s="94"/>
      <c r="I76" s="96"/>
      <c r="J76" s="96"/>
      <c r="K76" s="96"/>
      <c r="L76" s="96"/>
      <c r="M76" s="96"/>
    </row>
    <row r="77" spans="1:21" s="97" customFormat="1" ht="12" customHeight="1" x14ac:dyDescent="0.25">
      <c r="A77" s="91"/>
      <c r="B77" s="76" t="s">
        <v>74</v>
      </c>
      <c r="C77" s="77" t="s">
        <v>102</v>
      </c>
      <c r="D77" s="92"/>
      <c r="E77" s="92">
        <v>4</v>
      </c>
      <c r="F77" s="92">
        <v>1</v>
      </c>
      <c r="G77" s="93">
        <f t="shared" si="5"/>
        <v>0</v>
      </c>
      <c r="H77" s="94"/>
      <c r="I77" s="96"/>
      <c r="J77" s="96"/>
      <c r="K77" s="96"/>
      <c r="L77" s="96"/>
      <c r="M77" s="96"/>
    </row>
    <row r="78" spans="1:21" s="97" customFormat="1" ht="12" customHeight="1" x14ac:dyDescent="0.25">
      <c r="A78" s="91"/>
      <c r="B78" s="76" t="s">
        <v>76</v>
      </c>
      <c r="C78" s="77" t="s">
        <v>77</v>
      </c>
      <c r="D78" s="92"/>
      <c r="E78" s="92">
        <v>4</v>
      </c>
      <c r="F78" s="92">
        <v>1</v>
      </c>
      <c r="G78" s="93">
        <f t="shared" si="5"/>
        <v>0</v>
      </c>
      <c r="H78" s="94"/>
      <c r="I78" s="96"/>
      <c r="J78" s="96"/>
      <c r="K78" s="96"/>
      <c r="L78" s="96"/>
      <c r="M78" s="96"/>
    </row>
    <row r="79" spans="1:21" s="97" customFormat="1" ht="12" customHeight="1" x14ac:dyDescent="0.25">
      <c r="A79" s="91"/>
      <c r="B79" s="76" t="s">
        <v>78</v>
      </c>
      <c r="C79" s="77" t="s">
        <v>79</v>
      </c>
      <c r="D79" s="92"/>
      <c r="E79" s="92">
        <v>4</v>
      </c>
      <c r="F79" s="92">
        <v>1</v>
      </c>
      <c r="G79" s="93">
        <f t="shared" si="5"/>
        <v>0</v>
      </c>
      <c r="H79" s="94"/>
      <c r="I79" s="96"/>
      <c r="J79" s="96"/>
      <c r="K79" s="96"/>
      <c r="L79" s="96"/>
      <c r="M79" s="96"/>
    </row>
    <row r="80" spans="1:21" s="97" customFormat="1" ht="12" customHeight="1" x14ac:dyDescent="0.25">
      <c r="A80" s="91"/>
      <c r="B80" s="76" t="s">
        <v>80</v>
      </c>
      <c r="C80" s="77" t="s">
        <v>81</v>
      </c>
      <c r="D80" s="92"/>
      <c r="E80" s="92">
        <v>3</v>
      </c>
      <c r="F80" s="92">
        <v>1</v>
      </c>
      <c r="G80" s="93">
        <f t="shared" si="5"/>
        <v>0</v>
      </c>
      <c r="H80" s="94"/>
      <c r="I80" s="96"/>
      <c r="J80" s="96"/>
      <c r="K80" s="96"/>
      <c r="L80" s="96"/>
      <c r="M80" s="96"/>
    </row>
    <row r="81" spans="1:21" s="97" customFormat="1" ht="12" customHeight="1" x14ac:dyDescent="0.25">
      <c r="A81" s="91"/>
      <c r="B81" s="76" t="s">
        <v>82</v>
      </c>
      <c r="C81" s="77" t="s">
        <v>83</v>
      </c>
      <c r="D81" s="92"/>
      <c r="E81" s="92">
        <v>3</v>
      </c>
      <c r="F81" s="92">
        <v>1</v>
      </c>
      <c r="G81" s="93">
        <f t="shared" si="5"/>
        <v>0</v>
      </c>
      <c r="H81" s="94"/>
      <c r="I81" s="96"/>
      <c r="J81" s="96"/>
      <c r="K81" s="96"/>
      <c r="L81" s="96"/>
      <c r="M81" s="96"/>
    </row>
    <row r="82" spans="1:21" s="97" customFormat="1" ht="12" customHeight="1" x14ac:dyDescent="0.25">
      <c r="A82" s="91"/>
      <c r="B82" s="95"/>
      <c r="C82" s="77" t="s">
        <v>103</v>
      </c>
      <c r="D82" s="92"/>
      <c r="E82" s="92">
        <v>16</v>
      </c>
      <c r="F82" s="92">
        <v>1</v>
      </c>
      <c r="G82" s="93">
        <f t="shared" si="5"/>
        <v>0</v>
      </c>
      <c r="H82" s="94"/>
      <c r="I82" s="96"/>
      <c r="J82" s="96"/>
      <c r="K82" s="96"/>
      <c r="L82" s="96"/>
      <c r="M82" s="96"/>
    </row>
    <row r="83" spans="1:21" s="97" customFormat="1" ht="12" customHeight="1" x14ac:dyDescent="0.25">
      <c r="A83" s="91"/>
      <c r="B83" s="95"/>
      <c r="C83" s="77" t="s">
        <v>85</v>
      </c>
      <c r="D83" s="92"/>
      <c r="E83" s="92">
        <v>1</v>
      </c>
      <c r="F83" s="92">
        <v>1</v>
      </c>
      <c r="G83" s="93">
        <f t="shared" si="5"/>
        <v>0</v>
      </c>
      <c r="H83" s="94"/>
      <c r="I83" s="96"/>
      <c r="J83" s="96"/>
      <c r="K83" s="96"/>
      <c r="L83" s="96"/>
      <c r="M83" s="96"/>
    </row>
    <row r="84" spans="1:21" s="97" customFormat="1" ht="12" customHeight="1" x14ac:dyDescent="0.25">
      <c r="A84" s="91"/>
      <c r="B84" s="95"/>
      <c r="C84" s="77" t="s">
        <v>86</v>
      </c>
      <c r="D84" s="92"/>
      <c r="E84" s="92">
        <v>6</v>
      </c>
      <c r="F84" s="92">
        <v>1</v>
      </c>
      <c r="G84" s="93">
        <f t="shared" si="5"/>
        <v>0</v>
      </c>
      <c r="H84" s="94"/>
      <c r="I84" s="96"/>
      <c r="J84" s="96"/>
      <c r="K84" s="96"/>
      <c r="L84" s="96"/>
      <c r="M84" s="96"/>
    </row>
    <row r="85" spans="1:21" s="97" customFormat="1" ht="12" customHeight="1" x14ac:dyDescent="0.25">
      <c r="A85" s="91"/>
      <c r="B85" s="95"/>
      <c r="C85" s="92" t="s">
        <v>52</v>
      </c>
      <c r="D85" s="92">
        <v>200000</v>
      </c>
      <c r="E85" s="92">
        <v>3</v>
      </c>
      <c r="F85" s="92">
        <v>1</v>
      </c>
      <c r="G85" s="93">
        <f t="shared" ref="G85:G95" si="6">E85*D85</f>
        <v>600000</v>
      </c>
      <c r="H85" s="94"/>
      <c r="I85" s="96"/>
      <c r="J85" s="96"/>
      <c r="K85" s="96"/>
      <c r="L85" s="96"/>
      <c r="M85" s="96"/>
    </row>
    <row r="86" spans="1:21" s="97" customFormat="1" ht="12" customHeight="1" x14ac:dyDescent="0.25">
      <c r="A86" s="91"/>
      <c r="B86" s="95"/>
      <c r="C86" s="92"/>
      <c r="D86" s="92"/>
      <c r="E86" s="92"/>
      <c r="F86" s="92"/>
      <c r="G86" s="93"/>
      <c r="H86" s="94"/>
      <c r="I86" s="96"/>
      <c r="J86" s="96"/>
      <c r="K86" s="96"/>
      <c r="L86" s="96"/>
      <c r="M86" s="96"/>
    </row>
    <row r="87" spans="1:21" s="97" customFormat="1" ht="12" customHeight="1" x14ac:dyDescent="0.25">
      <c r="A87" s="91"/>
      <c r="B87" s="95"/>
      <c r="C87" s="77" t="s">
        <v>87</v>
      </c>
      <c r="D87" s="92">
        <f>80000</f>
        <v>80000</v>
      </c>
      <c r="E87" s="92">
        <v>2</v>
      </c>
      <c r="F87" s="92">
        <v>1</v>
      </c>
      <c r="G87" s="93">
        <f t="shared" si="6"/>
        <v>160000</v>
      </c>
      <c r="H87" s="94"/>
      <c r="I87" s="96"/>
      <c r="J87" s="96"/>
      <c r="K87" s="96"/>
      <c r="L87" s="96"/>
      <c r="M87" s="96"/>
    </row>
    <row r="88" spans="1:21" s="97" customFormat="1" ht="12" customHeight="1" x14ac:dyDescent="0.25">
      <c r="A88" s="91"/>
      <c r="B88" s="95"/>
      <c r="C88" s="77" t="s">
        <v>88</v>
      </c>
      <c r="D88" s="92">
        <v>80000</v>
      </c>
      <c r="E88" s="92">
        <v>4</v>
      </c>
      <c r="F88" s="92">
        <v>1</v>
      </c>
      <c r="G88" s="93">
        <f t="shared" si="6"/>
        <v>320000</v>
      </c>
      <c r="H88" s="94"/>
      <c r="I88" s="96"/>
      <c r="J88" s="96"/>
      <c r="K88" s="96"/>
      <c r="L88" s="96"/>
      <c r="M88" s="96"/>
    </row>
    <row r="89" spans="1:21" s="97" customFormat="1" ht="12" customHeight="1" x14ac:dyDescent="0.25">
      <c r="A89" s="91"/>
      <c r="B89" s="95"/>
      <c r="C89" s="77" t="s">
        <v>89</v>
      </c>
      <c r="D89" s="92">
        <v>80000</v>
      </c>
      <c r="E89" s="92">
        <v>4</v>
      </c>
      <c r="F89" s="92">
        <v>1</v>
      </c>
      <c r="G89" s="93">
        <f t="shared" si="6"/>
        <v>320000</v>
      </c>
      <c r="H89" s="94"/>
      <c r="I89" s="96"/>
      <c r="J89" s="96"/>
      <c r="K89" s="96"/>
      <c r="L89" s="96"/>
      <c r="M89" s="96"/>
    </row>
    <row r="90" spans="1:21" s="97" customFormat="1" ht="12" customHeight="1" x14ac:dyDescent="0.25">
      <c r="A90" s="91"/>
      <c r="B90" s="95"/>
      <c r="C90" s="77" t="s">
        <v>91</v>
      </c>
      <c r="D90" s="92">
        <v>80000</v>
      </c>
      <c r="E90" s="92">
        <v>3</v>
      </c>
      <c r="F90" s="92">
        <v>1</v>
      </c>
      <c r="G90" s="93">
        <f t="shared" si="6"/>
        <v>240000</v>
      </c>
      <c r="H90" s="94"/>
      <c r="I90" s="96"/>
      <c r="J90" s="96"/>
      <c r="K90" s="96"/>
      <c r="L90" s="96"/>
      <c r="M90" s="96"/>
    </row>
    <row r="91" spans="1:21" s="97" customFormat="1" ht="12" customHeight="1" x14ac:dyDescent="0.25">
      <c r="A91" s="91"/>
      <c r="B91" s="95"/>
      <c r="C91" s="77" t="s">
        <v>93</v>
      </c>
      <c r="D91" s="92">
        <v>80000</v>
      </c>
      <c r="E91" s="92">
        <v>16</v>
      </c>
      <c r="F91" s="92">
        <v>1</v>
      </c>
      <c r="G91" s="93">
        <f t="shared" si="6"/>
        <v>1280000</v>
      </c>
      <c r="H91" s="94"/>
      <c r="I91" s="96"/>
      <c r="J91" s="96"/>
      <c r="K91" s="96"/>
      <c r="L91" s="96"/>
      <c r="M91" s="96"/>
    </row>
    <row r="92" spans="1:21" s="97" customFormat="1" ht="12" customHeight="1" x14ac:dyDescent="0.25">
      <c r="A92" s="91"/>
      <c r="B92" s="95"/>
      <c r="C92" s="77" t="s">
        <v>94</v>
      </c>
      <c r="D92" s="92">
        <v>80000</v>
      </c>
      <c r="E92" s="92">
        <v>6</v>
      </c>
      <c r="F92" s="92">
        <v>1</v>
      </c>
      <c r="G92" s="93">
        <f t="shared" si="6"/>
        <v>480000</v>
      </c>
      <c r="H92" s="94"/>
      <c r="I92" s="96"/>
      <c r="J92" s="96"/>
      <c r="K92" s="96"/>
      <c r="L92" s="96"/>
      <c r="M92" s="96"/>
    </row>
    <row r="93" spans="1:21" s="97" customFormat="1" ht="12" customHeight="1" x14ac:dyDescent="0.25">
      <c r="A93" s="91"/>
      <c r="B93" s="95"/>
      <c r="C93" s="77" t="s">
        <v>95</v>
      </c>
      <c r="D93" s="92">
        <v>80000</v>
      </c>
      <c r="E93" s="92">
        <v>1</v>
      </c>
      <c r="F93" s="92">
        <v>1</v>
      </c>
      <c r="G93" s="93">
        <f t="shared" si="6"/>
        <v>80000</v>
      </c>
      <c r="H93" s="94"/>
      <c r="I93" s="96"/>
      <c r="J93" s="96"/>
      <c r="K93" s="96"/>
      <c r="L93" s="96"/>
      <c r="M93" s="96"/>
    </row>
    <row r="94" spans="1:21" s="97" customFormat="1" ht="12" customHeight="1" x14ac:dyDescent="0.25">
      <c r="A94" s="91"/>
      <c r="B94" s="95"/>
      <c r="C94" s="77"/>
      <c r="D94" s="92"/>
      <c r="E94" s="92"/>
      <c r="F94" s="92"/>
      <c r="G94" s="93"/>
      <c r="H94" s="94"/>
      <c r="I94" s="96"/>
      <c r="J94" s="96"/>
      <c r="K94" s="96"/>
      <c r="L94" s="96"/>
      <c r="M94" s="96"/>
    </row>
    <row r="95" spans="1:21" s="109" customFormat="1" ht="12" customHeight="1" x14ac:dyDescent="0.25">
      <c r="A95" s="103"/>
      <c r="B95" s="104"/>
      <c r="C95" s="92" t="s">
        <v>104</v>
      </c>
      <c r="D95" s="105">
        <v>300000</v>
      </c>
      <c r="E95" s="105">
        <v>56</v>
      </c>
      <c r="F95" s="105">
        <v>1</v>
      </c>
      <c r="G95" s="106">
        <f t="shared" si="6"/>
        <v>16800000</v>
      </c>
      <c r="H95" s="107"/>
      <c r="I95" s="108"/>
      <c r="J95" s="108"/>
      <c r="K95" s="108"/>
      <c r="L95" s="108"/>
      <c r="M95" s="108"/>
    </row>
    <row r="96" spans="1:21" s="102" customFormat="1" ht="12" customHeight="1" x14ac:dyDescent="0.25">
      <c r="A96" s="66"/>
      <c r="B96" s="70"/>
      <c r="C96" s="77" t="s">
        <v>60</v>
      </c>
      <c r="D96" s="63">
        <v>13714</v>
      </c>
      <c r="E96" s="63">
        <v>56</v>
      </c>
      <c r="F96" s="63">
        <v>1</v>
      </c>
      <c r="G96" s="64">
        <v>768000</v>
      </c>
      <c r="H96" s="84"/>
      <c r="I96" s="68"/>
      <c r="J96" s="68"/>
      <c r="K96" s="100"/>
      <c r="L96" s="100"/>
      <c r="M96" s="100"/>
      <c r="N96" s="101"/>
      <c r="O96" s="101"/>
      <c r="P96" s="101"/>
      <c r="Q96" s="101"/>
      <c r="R96" s="101"/>
      <c r="S96" s="101"/>
      <c r="T96" s="101"/>
      <c r="U96" s="101"/>
    </row>
    <row r="97" spans="1:21" s="102" customFormat="1" ht="12" customHeight="1" x14ac:dyDescent="0.25">
      <c r="A97" s="66"/>
      <c r="B97" s="70"/>
      <c r="C97" s="77" t="s">
        <v>57</v>
      </c>
      <c r="D97" s="63">
        <v>40000</v>
      </c>
      <c r="E97" s="63">
        <v>7</v>
      </c>
      <c r="F97" s="63">
        <v>1</v>
      </c>
      <c r="G97" s="64">
        <f>F97*E97*D97</f>
        <v>280000</v>
      </c>
      <c r="H97" s="84"/>
      <c r="I97" s="68"/>
      <c r="J97" s="68"/>
      <c r="K97" s="100"/>
      <c r="L97" s="100"/>
      <c r="M97" s="100"/>
      <c r="N97" s="101"/>
      <c r="O97" s="101"/>
      <c r="P97" s="101"/>
      <c r="Q97" s="101"/>
      <c r="R97" s="101"/>
      <c r="S97" s="101"/>
      <c r="T97" s="101"/>
      <c r="U97" s="101"/>
    </row>
    <row r="98" spans="1:21" s="102" customFormat="1" ht="12" customHeight="1" x14ac:dyDescent="0.25">
      <c r="A98" s="66"/>
      <c r="B98" s="70"/>
      <c r="C98" s="77" t="s">
        <v>99</v>
      </c>
      <c r="D98" s="63">
        <v>5000</v>
      </c>
      <c r="E98" s="63">
        <v>56</v>
      </c>
      <c r="F98" s="63">
        <v>1</v>
      </c>
      <c r="G98" s="64">
        <f>E98*D98</f>
        <v>280000</v>
      </c>
      <c r="H98" s="84"/>
      <c r="I98" s="68"/>
      <c r="J98" s="68"/>
      <c r="K98" s="100"/>
      <c r="L98" s="100"/>
      <c r="M98" s="100"/>
      <c r="N98" s="101"/>
      <c r="O98" s="101"/>
      <c r="P98" s="101"/>
      <c r="Q98" s="101"/>
      <c r="R98" s="101"/>
      <c r="S98" s="101"/>
      <c r="T98" s="101"/>
      <c r="U98" s="101"/>
    </row>
    <row r="99" spans="1:21" s="102" customFormat="1" ht="12" customHeight="1" x14ac:dyDescent="0.25">
      <c r="A99" s="66"/>
      <c r="B99" s="70"/>
      <c r="C99" s="77" t="s">
        <v>59</v>
      </c>
      <c r="D99" s="63">
        <v>50000</v>
      </c>
      <c r="E99" s="63">
        <v>20</v>
      </c>
      <c r="F99" s="63">
        <v>1</v>
      </c>
      <c r="G99" s="64">
        <f>F99*E99*D99</f>
        <v>1000000</v>
      </c>
      <c r="H99" s="84"/>
      <c r="I99" s="68"/>
      <c r="J99" s="68"/>
      <c r="K99" s="100"/>
      <c r="L99" s="100"/>
      <c r="M99" s="100"/>
      <c r="N99" s="101"/>
      <c r="O99" s="101"/>
      <c r="P99" s="101"/>
      <c r="Q99" s="101"/>
      <c r="R99" s="101"/>
      <c r="S99" s="101"/>
      <c r="T99" s="101"/>
      <c r="U99" s="101"/>
    </row>
    <row r="100" spans="1:21" s="59" customFormat="1" ht="12" customHeight="1" thickBot="1" x14ac:dyDescent="0.3">
      <c r="A100" s="66"/>
      <c r="B100" s="70"/>
      <c r="C100" s="77"/>
      <c r="D100" s="63"/>
      <c r="E100" s="63"/>
      <c r="F100" s="63"/>
      <c r="G100" s="64"/>
      <c r="H100" s="55"/>
      <c r="J100" s="56"/>
      <c r="K100" s="57"/>
      <c r="L100" s="57"/>
      <c r="M100" s="57"/>
      <c r="N100" s="58"/>
      <c r="O100" s="58"/>
      <c r="P100" s="58"/>
      <c r="Q100" s="58"/>
      <c r="R100" s="58"/>
      <c r="S100" s="58"/>
      <c r="T100" s="58"/>
      <c r="U100" s="58"/>
    </row>
    <row r="101" spans="1:21" s="59" customFormat="1" ht="12" customHeight="1" thickBot="1" x14ac:dyDescent="0.3">
      <c r="A101" s="66"/>
      <c r="B101" s="70"/>
      <c r="C101" s="72"/>
      <c r="D101" s="72"/>
      <c r="E101" s="72"/>
      <c r="F101" s="72"/>
      <c r="G101" s="110">
        <f>G99+G98+G97+G96+G95+G93+G92+G91+G90+G89+G88+G87+G85+G72</f>
        <v>22908000</v>
      </c>
      <c r="H101" s="74">
        <f>G101/8136</f>
        <v>2815.6342182890858</v>
      </c>
      <c r="I101" s="56"/>
      <c r="J101" s="56"/>
      <c r="K101" s="57"/>
      <c r="L101" s="57"/>
      <c r="M101" s="57"/>
      <c r="N101" s="58"/>
      <c r="O101" s="58"/>
      <c r="P101" s="58"/>
      <c r="Q101" s="58"/>
      <c r="R101" s="58"/>
      <c r="S101" s="58"/>
      <c r="T101" s="58"/>
      <c r="U101" s="58"/>
    </row>
    <row r="102" spans="1:21" s="113" customFormat="1" ht="18.75" customHeight="1" thickBot="1" x14ac:dyDescent="0.3">
      <c r="A102" s="81" t="s">
        <v>105</v>
      </c>
      <c r="B102" s="111" t="s">
        <v>106</v>
      </c>
      <c r="C102" s="82"/>
      <c r="D102" s="82"/>
      <c r="E102" s="82"/>
      <c r="F102" s="82"/>
      <c r="G102" s="83"/>
      <c r="H102" s="112"/>
      <c r="I102" s="112"/>
      <c r="J102" s="112"/>
      <c r="K102" s="112"/>
      <c r="L102" s="112"/>
      <c r="M102" s="112"/>
    </row>
    <row r="103" spans="1:21" s="59" customFormat="1" ht="25.5" customHeight="1" x14ac:dyDescent="0.25">
      <c r="A103" s="50">
        <v>3.1</v>
      </c>
      <c r="B103" s="114" t="s">
        <v>107</v>
      </c>
      <c r="C103" s="52" t="s">
        <v>39</v>
      </c>
      <c r="D103" s="53">
        <v>150000</v>
      </c>
      <c r="E103" s="53">
        <v>1</v>
      </c>
      <c r="F103" s="53">
        <v>1</v>
      </c>
      <c r="G103" s="54">
        <f t="shared" ref="G103:G116" si="7">D103*E103*F103</f>
        <v>150000</v>
      </c>
      <c r="H103" s="55"/>
      <c r="I103" s="56"/>
      <c r="J103" s="56"/>
      <c r="K103" s="57"/>
      <c r="L103" s="57"/>
      <c r="M103" s="57"/>
      <c r="N103" s="58"/>
      <c r="O103" s="58"/>
      <c r="P103" s="58"/>
      <c r="Q103" s="58"/>
      <c r="R103" s="58"/>
      <c r="S103" s="58"/>
      <c r="T103" s="58"/>
      <c r="U103" s="58"/>
    </row>
    <row r="104" spans="1:21" s="59" customFormat="1" ht="12" hidden="1" customHeight="1" x14ac:dyDescent="0.25">
      <c r="A104" s="66"/>
      <c r="B104" s="70" t="s">
        <v>50</v>
      </c>
      <c r="C104" s="89" t="s">
        <v>68</v>
      </c>
      <c r="D104" s="63">
        <v>8000</v>
      </c>
      <c r="E104" s="63">
        <v>40</v>
      </c>
      <c r="F104" s="63">
        <v>10</v>
      </c>
      <c r="G104" s="90">
        <f t="shared" si="7"/>
        <v>3200000</v>
      </c>
      <c r="H104" s="55"/>
      <c r="I104" s="56"/>
      <c r="J104" s="56"/>
      <c r="K104" s="57"/>
      <c r="L104" s="57"/>
      <c r="M104" s="57"/>
      <c r="N104" s="58"/>
      <c r="O104" s="58"/>
      <c r="P104" s="58"/>
      <c r="Q104" s="58"/>
      <c r="R104" s="58"/>
      <c r="S104" s="58"/>
      <c r="T104" s="58"/>
      <c r="U104" s="58"/>
    </row>
    <row r="105" spans="1:21" s="49" customFormat="1" ht="12" customHeight="1" x14ac:dyDescent="0.25">
      <c r="A105" s="91"/>
      <c r="B105" s="76" t="s">
        <v>61</v>
      </c>
      <c r="C105" s="77" t="s">
        <v>70</v>
      </c>
      <c r="D105" s="92"/>
      <c r="E105" s="92">
        <v>1</v>
      </c>
      <c r="F105" s="92">
        <v>1</v>
      </c>
      <c r="G105" s="93">
        <f t="shared" si="7"/>
        <v>0</v>
      </c>
      <c r="H105" s="94"/>
      <c r="I105" s="48"/>
      <c r="J105" s="48"/>
      <c r="K105" s="48"/>
      <c r="L105" s="48"/>
      <c r="M105" s="48"/>
    </row>
    <row r="106" spans="1:21" s="49" customFormat="1" ht="21.75" customHeight="1" x14ac:dyDescent="0.25">
      <c r="A106" s="91"/>
      <c r="B106" s="76" t="s">
        <v>108</v>
      </c>
      <c r="C106" s="77" t="s">
        <v>72</v>
      </c>
      <c r="D106" s="92"/>
      <c r="E106" s="92">
        <v>2</v>
      </c>
      <c r="F106" s="92">
        <v>1</v>
      </c>
      <c r="G106" s="93">
        <f t="shared" si="7"/>
        <v>0</v>
      </c>
      <c r="H106" s="94"/>
      <c r="I106" s="48"/>
      <c r="J106" s="48"/>
      <c r="K106" s="48"/>
      <c r="L106" s="48"/>
      <c r="M106" s="48"/>
    </row>
    <row r="107" spans="1:21" s="49" customFormat="1" ht="12" customHeight="1" x14ac:dyDescent="0.25">
      <c r="A107" s="91"/>
      <c r="B107" s="76" t="s">
        <v>73</v>
      </c>
      <c r="C107" s="77" t="s">
        <v>47</v>
      </c>
      <c r="D107" s="92"/>
      <c r="E107" s="92">
        <v>6</v>
      </c>
      <c r="F107" s="92">
        <v>1</v>
      </c>
      <c r="G107" s="93">
        <f t="shared" si="7"/>
        <v>0</v>
      </c>
      <c r="H107" s="94"/>
      <c r="I107" s="48"/>
      <c r="J107" s="48"/>
      <c r="K107" s="48"/>
      <c r="L107" s="48"/>
      <c r="M107" s="48"/>
    </row>
    <row r="108" spans="1:21" s="49" customFormat="1" ht="12" customHeight="1" x14ac:dyDescent="0.25">
      <c r="A108" s="91"/>
      <c r="B108" s="76" t="s">
        <v>109</v>
      </c>
      <c r="C108" s="77" t="s">
        <v>110</v>
      </c>
      <c r="D108" s="92"/>
      <c r="E108" s="92">
        <v>3</v>
      </c>
      <c r="F108" s="92">
        <v>1</v>
      </c>
      <c r="G108" s="93">
        <f t="shared" si="7"/>
        <v>0</v>
      </c>
      <c r="H108" s="94"/>
      <c r="I108" s="48"/>
      <c r="J108" s="48"/>
      <c r="K108" s="48"/>
      <c r="L108" s="48"/>
      <c r="M108" s="48"/>
    </row>
    <row r="109" spans="1:21" s="49" customFormat="1" ht="12" customHeight="1" x14ac:dyDescent="0.25">
      <c r="A109" s="91"/>
      <c r="B109" s="76" t="s">
        <v>111</v>
      </c>
      <c r="C109" s="77" t="s">
        <v>77</v>
      </c>
      <c r="D109" s="92"/>
      <c r="E109" s="92">
        <v>4</v>
      </c>
      <c r="F109" s="92">
        <v>1</v>
      </c>
      <c r="G109" s="93">
        <f t="shared" si="7"/>
        <v>0</v>
      </c>
      <c r="H109" s="94"/>
      <c r="I109" s="48"/>
      <c r="J109" s="48"/>
      <c r="K109" s="48"/>
      <c r="L109" s="48"/>
      <c r="M109" s="48"/>
    </row>
    <row r="110" spans="1:21" s="49" customFormat="1" ht="12" customHeight="1" x14ac:dyDescent="0.25">
      <c r="A110" s="91"/>
      <c r="B110" s="76" t="s">
        <v>112</v>
      </c>
      <c r="C110" s="77" t="s">
        <v>79</v>
      </c>
      <c r="D110" s="92"/>
      <c r="E110" s="92">
        <v>4</v>
      </c>
      <c r="F110" s="92">
        <v>1</v>
      </c>
      <c r="G110" s="93">
        <f t="shared" si="7"/>
        <v>0</v>
      </c>
      <c r="H110" s="94"/>
      <c r="I110" s="48"/>
      <c r="J110" s="48"/>
      <c r="K110" s="48"/>
      <c r="L110" s="48"/>
      <c r="M110" s="48"/>
    </row>
    <row r="111" spans="1:21" s="49" customFormat="1" ht="12" customHeight="1" x14ac:dyDescent="0.25">
      <c r="A111" s="91"/>
      <c r="B111" s="76" t="s">
        <v>113</v>
      </c>
      <c r="C111" s="77" t="s">
        <v>81</v>
      </c>
      <c r="D111" s="92"/>
      <c r="E111" s="92">
        <v>3</v>
      </c>
      <c r="F111" s="92">
        <v>1</v>
      </c>
      <c r="G111" s="93">
        <f t="shared" si="7"/>
        <v>0</v>
      </c>
      <c r="H111" s="94"/>
      <c r="I111" s="48"/>
      <c r="J111" s="48"/>
      <c r="K111" s="48"/>
      <c r="L111" s="48"/>
      <c r="M111" s="48"/>
    </row>
    <row r="112" spans="1:21" s="49" customFormat="1" ht="12" customHeight="1" x14ac:dyDescent="0.25">
      <c r="A112" s="91"/>
      <c r="B112" s="76" t="s">
        <v>50</v>
      </c>
      <c r="C112" s="77" t="s">
        <v>83</v>
      </c>
      <c r="D112" s="92"/>
      <c r="E112" s="92">
        <v>3</v>
      </c>
      <c r="F112" s="92">
        <v>1</v>
      </c>
      <c r="G112" s="93">
        <f t="shared" si="7"/>
        <v>0</v>
      </c>
      <c r="H112" s="94"/>
      <c r="I112" s="48"/>
      <c r="J112" s="48"/>
      <c r="K112" s="48"/>
      <c r="L112" s="48"/>
      <c r="M112" s="48"/>
    </row>
    <row r="113" spans="1:21" s="49" customFormat="1" ht="12" customHeight="1" x14ac:dyDescent="0.25">
      <c r="A113" s="91"/>
      <c r="B113" s="95"/>
      <c r="C113" s="77" t="s">
        <v>114</v>
      </c>
      <c r="D113" s="92"/>
      <c r="E113" s="92">
        <v>14</v>
      </c>
      <c r="F113" s="92">
        <v>1</v>
      </c>
      <c r="G113" s="93">
        <f t="shared" si="7"/>
        <v>0</v>
      </c>
      <c r="H113" s="94"/>
      <c r="I113" s="48"/>
      <c r="J113" s="48"/>
      <c r="K113" s="48"/>
      <c r="L113" s="48"/>
      <c r="M113" s="48"/>
    </row>
    <row r="114" spans="1:21" s="49" customFormat="1" ht="12" customHeight="1" x14ac:dyDescent="0.25">
      <c r="A114" s="91"/>
      <c r="B114" s="95"/>
      <c r="C114" s="77" t="s">
        <v>115</v>
      </c>
      <c r="D114" s="92"/>
      <c r="E114" s="92">
        <v>4</v>
      </c>
      <c r="F114" s="92">
        <v>1</v>
      </c>
      <c r="G114" s="93">
        <f t="shared" si="7"/>
        <v>0</v>
      </c>
      <c r="H114" s="94"/>
      <c r="I114" s="48"/>
      <c r="J114" s="48"/>
      <c r="K114" s="48"/>
      <c r="L114" s="48"/>
      <c r="M114" s="48"/>
    </row>
    <row r="115" spans="1:21" s="49" customFormat="1" ht="12" customHeight="1" x14ac:dyDescent="0.25">
      <c r="A115" s="91"/>
      <c r="B115" s="95"/>
      <c r="C115" s="77" t="s">
        <v>116</v>
      </c>
      <c r="D115" s="92"/>
      <c r="E115" s="92">
        <v>3</v>
      </c>
      <c r="F115" s="92">
        <v>1</v>
      </c>
      <c r="G115" s="93">
        <f t="shared" si="7"/>
        <v>0</v>
      </c>
      <c r="H115" s="94"/>
      <c r="I115" s="48"/>
      <c r="J115" s="48"/>
      <c r="K115" s="48"/>
      <c r="L115" s="48"/>
      <c r="M115" s="48"/>
    </row>
    <row r="116" spans="1:21" s="49" customFormat="1" ht="12" customHeight="1" x14ac:dyDescent="0.25">
      <c r="A116" s="91"/>
      <c r="B116" s="95"/>
      <c r="C116" s="77" t="s">
        <v>117</v>
      </c>
      <c r="D116" s="92"/>
      <c r="E116" s="92">
        <v>3</v>
      </c>
      <c r="F116" s="92">
        <v>1</v>
      </c>
      <c r="G116" s="93">
        <f t="shared" si="7"/>
        <v>0</v>
      </c>
      <c r="H116" s="94"/>
      <c r="I116" s="48"/>
      <c r="J116" s="48"/>
      <c r="K116" s="48"/>
      <c r="L116" s="48"/>
      <c r="M116" s="48"/>
    </row>
    <row r="117" spans="1:21" s="97" customFormat="1" ht="12" customHeight="1" x14ac:dyDescent="0.25">
      <c r="A117" s="91"/>
      <c r="B117" s="95"/>
      <c r="C117" s="77" t="s">
        <v>87</v>
      </c>
      <c r="D117" s="92">
        <f>80000</f>
        <v>80000</v>
      </c>
      <c r="E117" s="92">
        <v>2</v>
      </c>
      <c r="F117" s="92">
        <v>1</v>
      </c>
      <c r="G117" s="93">
        <f t="shared" ref="G117:G126" si="8">E117*D117</f>
        <v>160000</v>
      </c>
      <c r="H117" s="94"/>
      <c r="I117" s="96"/>
      <c r="J117" s="96"/>
      <c r="K117" s="96"/>
      <c r="L117" s="96"/>
      <c r="M117" s="96"/>
    </row>
    <row r="118" spans="1:21" s="97" customFormat="1" ht="12" customHeight="1" x14ac:dyDescent="0.25">
      <c r="A118" s="91"/>
      <c r="B118" s="95"/>
      <c r="C118" s="77" t="s">
        <v>88</v>
      </c>
      <c r="D118" s="92">
        <v>80000</v>
      </c>
      <c r="E118" s="92">
        <v>3</v>
      </c>
      <c r="F118" s="92">
        <v>1</v>
      </c>
      <c r="G118" s="93">
        <f t="shared" si="8"/>
        <v>240000</v>
      </c>
      <c r="H118" s="94"/>
      <c r="I118" s="96"/>
      <c r="J118" s="96"/>
      <c r="K118" s="96"/>
      <c r="L118" s="96"/>
      <c r="M118" s="96"/>
    </row>
    <row r="119" spans="1:21" s="97" customFormat="1" ht="12" customHeight="1" x14ac:dyDescent="0.25">
      <c r="A119" s="91"/>
      <c r="B119" s="95"/>
      <c r="C119" s="77" t="s">
        <v>89</v>
      </c>
      <c r="D119" s="92">
        <v>80000</v>
      </c>
      <c r="E119" s="92">
        <v>4</v>
      </c>
      <c r="F119" s="92">
        <v>1</v>
      </c>
      <c r="G119" s="93">
        <f t="shared" si="8"/>
        <v>320000</v>
      </c>
      <c r="H119" s="94"/>
      <c r="I119" s="96"/>
      <c r="J119" s="96"/>
      <c r="K119" s="96"/>
      <c r="L119" s="96"/>
      <c r="M119" s="96"/>
    </row>
    <row r="120" spans="1:21" s="97" customFormat="1" ht="12" customHeight="1" x14ac:dyDescent="0.25">
      <c r="A120" s="91"/>
      <c r="B120" s="95"/>
      <c r="C120" s="77" t="s">
        <v>90</v>
      </c>
      <c r="D120" s="92">
        <v>80000</v>
      </c>
      <c r="E120" s="92">
        <v>4</v>
      </c>
      <c r="F120" s="92">
        <v>1</v>
      </c>
      <c r="G120" s="93">
        <f t="shared" si="8"/>
        <v>320000</v>
      </c>
      <c r="H120" s="94"/>
      <c r="I120" s="96"/>
      <c r="J120" s="96"/>
      <c r="K120" s="96"/>
      <c r="L120" s="96"/>
      <c r="M120" s="96"/>
    </row>
    <row r="121" spans="1:21" s="97" customFormat="1" ht="12" customHeight="1" x14ac:dyDescent="0.25">
      <c r="A121" s="91"/>
      <c r="B121" s="95"/>
      <c r="C121" s="77" t="s">
        <v>91</v>
      </c>
      <c r="D121" s="92">
        <v>80000</v>
      </c>
      <c r="E121" s="92">
        <v>3</v>
      </c>
      <c r="F121" s="92">
        <v>1</v>
      </c>
      <c r="G121" s="93">
        <f t="shared" si="8"/>
        <v>240000</v>
      </c>
      <c r="H121" s="94"/>
      <c r="I121" s="96"/>
      <c r="J121" s="96"/>
      <c r="K121" s="96"/>
      <c r="L121" s="96"/>
      <c r="M121" s="96"/>
    </row>
    <row r="122" spans="1:21" s="97" customFormat="1" ht="12" customHeight="1" x14ac:dyDescent="0.25">
      <c r="A122" s="91"/>
      <c r="B122" s="95"/>
      <c r="C122" s="77" t="s">
        <v>92</v>
      </c>
      <c r="D122" s="92">
        <v>80000</v>
      </c>
      <c r="E122" s="92">
        <v>3</v>
      </c>
      <c r="F122" s="92">
        <v>1</v>
      </c>
      <c r="G122" s="93">
        <f t="shared" si="8"/>
        <v>240000</v>
      </c>
      <c r="H122" s="94"/>
      <c r="I122" s="96"/>
      <c r="J122" s="96"/>
      <c r="K122" s="96"/>
      <c r="L122" s="96"/>
      <c r="M122" s="96"/>
    </row>
    <row r="123" spans="1:21" s="97" customFormat="1" ht="12" customHeight="1" x14ac:dyDescent="0.25">
      <c r="A123" s="91"/>
      <c r="B123" s="95"/>
      <c r="C123" s="77" t="s">
        <v>118</v>
      </c>
      <c r="D123" s="92">
        <v>80000</v>
      </c>
      <c r="E123" s="92">
        <v>14</v>
      </c>
      <c r="F123" s="92">
        <v>1</v>
      </c>
      <c r="G123" s="93">
        <f t="shared" si="8"/>
        <v>1120000</v>
      </c>
      <c r="H123" s="94"/>
      <c r="I123" s="96"/>
      <c r="J123" s="96"/>
      <c r="K123" s="96"/>
      <c r="L123" s="96"/>
      <c r="M123" s="96"/>
    </row>
    <row r="124" spans="1:21" s="97" customFormat="1" ht="12" customHeight="1" x14ac:dyDescent="0.25">
      <c r="A124" s="91"/>
      <c r="B124" s="95"/>
      <c r="C124" s="77" t="s">
        <v>119</v>
      </c>
      <c r="D124" s="92">
        <v>80000</v>
      </c>
      <c r="E124" s="92">
        <v>4</v>
      </c>
      <c r="F124" s="92">
        <v>1</v>
      </c>
      <c r="G124" s="93">
        <f t="shared" si="8"/>
        <v>320000</v>
      </c>
      <c r="H124" s="94"/>
      <c r="I124" s="96"/>
      <c r="J124" s="96"/>
      <c r="K124" s="96"/>
      <c r="L124" s="96"/>
      <c r="M124" s="96"/>
    </row>
    <row r="125" spans="1:21" s="97" customFormat="1" ht="12" customHeight="1" x14ac:dyDescent="0.25">
      <c r="A125" s="91"/>
      <c r="B125" s="95"/>
      <c r="C125" s="77" t="s">
        <v>120</v>
      </c>
      <c r="D125" s="92">
        <v>80000</v>
      </c>
      <c r="E125" s="92">
        <v>3</v>
      </c>
      <c r="F125" s="92">
        <v>1</v>
      </c>
      <c r="G125" s="93">
        <f t="shared" si="8"/>
        <v>240000</v>
      </c>
      <c r="H125" s="94"/>
      <c r="I125" s="96"/>
      <c r="J125" s="96"/>
      <c r="K125" s="96"/>
      <c r="L125" s="96"/>
      <c r="M125" s="96"/>
    </row>
    <row r="126" spans="1:21" s="97" customFormat="1" ht="12" customHeight="1" x14ac:dyDescent="0.25">
      <c r="A126" s="91"/>
      <c r="B126" s="95"/>
      <c r="C126" s="77" t="s">
        <v>121</v>
      </c>
      <c r="D126" s="92">
        <v>80000</v>
      </c>
      <c r="E126" s="92">
        <v>3</v>
      </c>
      <c r="F126" s="92">
        <v>1</v>
      </c>
      <c r="G126" s="93">
        <f t="shared" si="8"/>
        <v>240000</v>
      </c>
      <c r="H126" s="94"/>
      <c r="I126" s="96"/>
      <c r="J126" s="96"/>
      <c r="K126" s="96"/>
      <c r="L126" s="96"/>
      <c r="M126" s="96"/>
    </row>
    <row r="127" spans="1:21" s="59" customFormat="1" ht="15" customHeight="1" x14ac:dyDescent="0.25">
      <c r="A127" s="66"/>
      <c r="C127" s="79" t="s">
        <v>96</v>
      </c>
      <c r="D127" s="63">
        <v>2000000</v>
      </c>
      <c r="E127" s="63">
        <v>1</v>
      </c>
      <c r="F127" s="63">
        <v>3</v>
      </c>
      <c r="G127" s="64">
        <f>D127*E127*F127</f>
        <v>6000000</v>
      </c>
      <c r="H127" s="55"/>
      <c r="I127" s="56"/>
      <c r="J127" s="56"/>
      <c r="K127" s="57"/>
      <c r="L127" s="57"/>
      <c r="M127" s="57"/>
      <c r="N127" s="58"/>
      <c r="O127" s="58"/>
      <c r="P127" s="58"/>
      <c r="Q127" s="58"/>
      <c r="R127" s="58"/>
      <c r="S127" s="58"/>
      <c r="T127" s="58"/>
      <c r="U127" s="58"/>
    </row>
    <row r="128" spans="1:21" s="59" customFormat="1" ht="15" customHeight="1" x14ac:dyDescent="0.25">
      <c r="A128" s="66"/>
      <c r="C128" s="79" t="s">
        <v>97</v>
      </c>
      <c r="D128" s="63">
        <v>20000</v>
      </c>
      <c r="E128" s="63">
        <v>50</v>
      </c>
      <c r="F128" s="63">
        <v>3</v>
      </c>
      <c r="G128" s="64">
        <f>D128*E128*F128</f>
        <v>3000000</v>
      </c>
      <c r="H128" s="55"/>
      <c r="I128" s="56"/>
      <c r="J128" s="56"/>
      <c r="K128" s="57"/>
      <c r="L128" s="57"/>
      <c r="M128" s="57"/>
      <c r="N128" s="58"/>
      <c r="O128" s="58"/>
      <c r="P128" s="58"/>
      <c r="Q128" s="58"/>
      <c r="R128" s="58"/>
      <c r="S128" s="58"/>
      <c r="T128" s="58"/>
      <c r="U128" s="58"/>
    </row>
    <row r="129" spans="1:21" s="59" customFormat="1" ht="12" customHeight="1" x14ac:dyDescent="0.25">
      <c r="A129" s="66"/>
      <c r="B129" s="70"/>
      <c r="C129" s="77" t="s">
        <v>60</v>
      </c>
      <c r="D129" s="63">
        <v>16000</v>
      </c>
      <c r="E129" s="63">
        <v>50</v>
      </c>
      <c r="F129" s="63">
        <v>1</v>
      </c>
      <c r="G129" s="64">
        <f>F129*E129*D129</f>
        <v>800000</v>
      </c>
      <c r="H129" s="55"/>
      <c r="I129" s="56"/>
      <c r="J129" s="56"/>
      <c r="K129" s="57"/>
      <c r="L129" s="57"/>
      <c r="M129" s="57"/>
      <c r="N129" s="58"/>
      <c r="O129" s="58"/>
      <c r="P129" s="58"/>
      <c r="Q129" s="58"/>
      <c r="R129" s="58"/>
      <c r="S129" s="58"/>
      <c r="T129" s="58"/>
      <c r="U129" s="58"/>
    </row>
    <row r="130" spans="1:21" s="59" customFormat="1" ht="12" customHeight="1" x14ac:dyDescent="0.25">
      <c r="A130" s="66"/>
      <c r="B130" s="70"/>
      <c r="C130" s="77" t="s">
        <v>57</v>
      </c>
      <c r="D130" s="63">
        <v>40000</v>
      </c>
      <c r="E130" s="63">
        <v>7</v>
      </c>
      <c r="F130" s="63">
        <v>2</v>
      </c>
      <c r="G130" s="64">
        <f>F130*E130*D130</f>
        <v>560000</v>
      </c>
      <c r="H130" s="55"/>
      <c r="I130" s="56"/>
      <c r="J130" s="56"/>
      <c r="K130" s="57"/>
      <c r="L130" s="57"/>
      <c r="M130" s="57"/>
      <c r="N130" s="58"/>
      <c r="O130" s="58"/>
      <c r="P130" s="58"/>
      <c r="Q130" s="58"/>
      <c r="R130" s="58"/>
      <c r="S130" s="58"/>
      <c r="T130" s="58"/>
      <c r="U130" s="58"/>
    </row>
    <row r="131" spans="1:21" s="59" customFormat="1" ht="12" customHeight="1" x14ac:dyDescent="0.25">
      <c r="A131" s="66"/>
      <c r="B131" s="70"/>
      <c r="C131" s="77" t="s">
        <v>98</v>
      </c>
      <c r="D131" s="63">
        <v>400000</v>
      </c>
      <c r="E131" s="63">
        <v>1</v>
      </c>
      <c r="F131" s="63">
        <v>1</v>
      </c>
      <c r="G131" s="64">
        <f>E131*D131</f>
        <v>400000</v>
      </c>
      <c r="H131" s="55"/>
      <c r="I131" s="56"/>
      <c r="J131" s="56"/>
      <c r="K131" s="57"/>
      <c r="L131" s="57"/>
      <c r="M131" s="57"/>
      <c r="N131" s="58"/>
      <c r="O131" s="58"/>
      <c r="P131" s="58"/>
      <c r="Q131" s="58"/>
      <c r="R131" s="58"/>
      <c r="S131" s="58"/>
      <c r="T131" s="58"/>
      <c r="U131" s="58"/>
    </row>
    <row r="132" spans="1:21" s="59" customFormat="1" ht="12" customHeight="1" x14ac:dyDescent="0.25">
      <c r="A132" s="66"/>
      <c r="B132" s="70"/>
      <c r="C132" s="77" t="s">
        <v>99</v>
      </c>
      <c r="D132" s="63">
        <v>8000</v>
      </c>
      <c r="E132" s="63">
        <v>50</v>
      </c>
      <c r="F132" s="63">
        <v>1</v>
      </c>
      <c r="G132" s="64">
        <f>E132*D132</f>
        <v>400000</v>
      </c>
      <c r="H132" s="55"/>
      <c r="I132" s="56"/>
      <c r="J132" s="56"/>
      <c r="K132" s="57"/>
      <c r="L132" s="57"/>
      <c r="M132" s="57"/>
      <c r="N132" s="58"/>
      <c r="O132" s="58"/>
      <c r="P132" s="58"/>
      <c r="Q132" s="58"/>
      <c r="R132" s="58"/>
      <c r="S132" s="58"/>
      <c r="T132" s="58"/>
      <c r="U132" s="58"/>
    </row>
    <row r="133" spans="1:21" s="59" customFormat="1" ht="12" customHeight="1" x14ac:dyDescent="0.25">
      <c r="A133" s="66"/>
      <c r="B133" s="70"/>
      <c r="C133" s="77" t="s">
        <v>59</v>
      </c>
      <c r="D133" s="63">
        <v>50000</v>
      </c>
      <c r="E133" s="63">
        <v>25</v>
      </c>
      <c r="F133" s="63">
        <v>1</v>
      </c>
      <c r="G133" s="64">
        <f>F133*E133*D133</f>
        <v>1250000</v>
      </c>
      <c r="H133" s="55"/>
      <c r="I133" s="56"/>
      <c r="J133" s="56"/>
      <c r="K133" s="57"/>
      <c r="L133" s="57"/>
      <c r="M133" s="57"/>
      <c r="N133" s="58"/>
      <c r="O133" s="58"/>
      <c r="P133" s="58"/>
      <c r="Q133" s="58"/>
      <c r="R133" s="58"/>
      <c r="S133" s="58"/>
      <c r="T133" s="58"/>
      <c r="U133" s="58"/>
    </row>
    <row r="134" spans="1:21" s="59" customFormat="1" ht="12" customHeight="1" thickBot="1" x14ac:dyDescent="0.3">
      <c r="A134" s="66"/>
      <c r="B134" s="70"/>
      <c r="C134" s="77"/>
      <c r="D134" s="63"/>
      <c r="E134" s="63"/>
      <c r="F134" s="63"/>
      <c r="G134" s="64"/>
      <c r="H134" s="55"/>
      <c r="I134" s="56"/>
      <c r="J134" s="56"/>
      <c r="K134" s="57"/>
      <c r="L134" s="57"/>
      <c r="M134" s="57"/>
      <c r="N134" s="58"/>
      <c r="O134" s="58"/>
      <c r="P134" s="58"/>
      <c r="Q134" s="58"/>
      <c r="R134" s="58"/>
      <c r="S134" s="58"/>
      <c r="T134" s="58"/>
      <c r="U134" s="58"/>
    </row>
    <row r="135" spans="1:21" s="59" customFormat="1" ht="12" customHeight="1" thickBot="1" x14ac:dyDescent="0.3">
      <c r="A135" s="66"/>
      <c r="B135" s="70"/>
      <c r="C135" s="80"/>
      <c r="D135" s="72"/>
      <c r="E135" s="72"/>
      <c r="F135" s="72"/>
      <c r="G135" s="73">
        <f>G133+G132+G131+G130+G129+G128+G127+G126+G125+G124+G123+G122+G121+G120+G119+G118+G117+G103</f>
        <v>16000000</v>
      </c>
      <c r="H135" s="74">
        <f>G135/8136</f>
        <v>1966.5683382497541</v>
      </c>
      <c r="I135" s="56"/>
      <c r="J135" s="56"/>
      <c r="K135" s="57"/>
      <c r="L135" s="57"/>
      <c r="M135" s="57"/>
      <c r="N135" s="58"/>
      <c r="O135" s="58"/>
      <c r="P135" s="58"/>
      <c r="Q135" s="58"/>
      <c r="R135" s="58"/>
      <c r="S135" s="58"/>
      <c r="T135" s="58"/>
      <c r="U135" s="58"/>
    </row>
    <row r="136" spans="1:21" s="59" customFormat="1" ht="12" customHeight="1" thickBot="1" x14ac:dyDescent="0.3">
      <c r="A136" s="66"/>
      <c r="B136" s="71"/>
      <c r="C136" s="63"/>
      <c r="D136" s="63"/>
      <c r="E136" s="63"/>
      <c r="F136" s="63"/>
      <c r="G136" s="64"/>
      <c r="H136" s="55"/>
      <c r="I136" s="56"/>
      <c r="J136" s="56"/>
      <c r="K136" s="57"/>
      <c r="L136" s="57"/>
      <c r="M136" s="57"/>
      <c r="N136" s="58"/>
      <c r="O136" s="58"/>
      <c r="P136" s="58"/>
      <c r="Q136" s="58"/>
      <c r="R136" s="58"/>
      <c r="S136" s="58"/>
      <c r="T136" s="58"/>
      <c r="U136" s="58"/>
    </row>
    <row r="137" spans="1:21" s="49" customFormat="1" ht="36" customHeight="1" x14ac:dyDescent="0.25">
      <c r="A137" s="115">
        <v>3.2</v>
      </c>
      <c r="B137" s="116" t="s">
        <v>122</v>
      </c>
      <c r="C137" s="117" t="s">
        <v>39</v>
      </c>
      <c r="D137" s="117">
        <v>300000</v>
      </c>
      <c r="E137" s="117">
        <v>1</v>
      </c>
      <c r="F137" s="117">
        <v>1</v>
      </c>
      <c r="G137" s="118">
        <f t="shared" ref="G137:G146" si="9">D137*E137*F137</f>
        <v>300000</v>
      </c>
      <c r="H137" s="47"/>
      <c r="I137" s="48"/>
      <c r="J137" s="48"/>
      <c r="K137" s="48"/>
      <c r="L137" s="48"/>
      <c r="M137" s="48"/>
    </row>
    <row r="138" spans="1:21" s="49" customFormat="1" ht="12" customHeight="1" x14ac:dyDescent="0.25">
      <c r="A138" s="91"/>
      <c r="B138" s="61" t="s">
        <v>123</v>
      </c>
      <c r="C138" s="92" t="s">
        <v>70</v>
      </c>
      <c r="D138" s="92"/>
      <c r="E138" s="92">
        <v>1</v>
      </c>
      <c r="F138" s="92">
        <v>1</v>
      </c>
      <c r="G138" s="93">
        <f t="shared" si="9"/>
        <v>0</v>
      </c>
      <c r="H138" s="94"/>
      <c r="I138" s="48"/>
      <c r="J138" s="48"/>
      <c r="K138" s="48"/>
      <c r="L138" s="48"/>
      <c r="M138" s="48"/>
    </row>
    <row r="139" spans="1:21" s="49" customFormat="1" ht="21.75" customHeight="1" x14ac:dyDescent="0.25">
      <c r="A139" s="91"/>
      <c r="B139" s="61" t="s">
        <v>124</v>
      </c>
      <c r="C139" s="92" t="s">
        <v>72</v>
      </c>
      <c r="D139" s="92"/>
      <c r="E139" s="92">
        <v>2</v>
      </c>
      <c r="F139" s="92">
        <v>1</v>
      </c>
      <c r="G139" s="93">
        <f t="shared" si="9"/>
        <v>0</v>
      </c>
      <c r="H139" s="94"/>
      <c r="I139" s="48"/>
      <c r="J139" s="48"/>
      <c r="K139" s="48"/>
      <c r="L139" s="48"/>
      <c r="M139" s="48"/>
    </row>
    <row r="140" spans="1:21" s="49" customFormat="1" ht="12" customHeight="1" x14ac:dyDescent="0.25">
      <c r="A140" s="91"/>
      <c r="B140" s="61" t="s">
        <v>125</v>
      </c>
      <c r="C140" s="92" t="s">
        <v>47</v>
      </c>
      <c r="D140" s="92"/>
      <c r="E140" s="92">
        <v>6</v>
      </c>
      <c r="F140" s="92">
        <v>1</v>
      </c>
      <c r="G140" s="93">
        <f t="shared" si="9"/>
        <v>0</v>
      </c>
      <c r="H140" s="94"/>
      <c r="I140" s="48"/>
      <c r="J140" s="48"/>
      <c r="K140" s="48"/>
      <c r="L140" s="48"/>
      <c r="M140" s="48"/>
    </row>
    <row r="141" spans="1:21" s="49" customFormat="1" ht="12" customHeight="1" x14ac:dyDescent="0.25">
      <c r="A141" s="91"/>
      <c r="B141" s="61" t="s">
        <v>126</v>
      </c>
      <c r="C141" s="92" t="s">
        <v>127</v>
      </c>
      <c r="D141" s="92"/>
      <c r="E141" s="92">
        <v>3</v>
      </c>
      <c r="F141" s="92">
        <v>1</v>
      </c>
      <c r="G141" s="93">
        <f t="shared" si="9"/>
        <v>0</v>
      </c>
      <c r="H141" s="94"/>
      <c r="I141" s="48"/>
      <c r="J141" s="48"/>
      <c r="K141" s="48"/>
      <c r="L141" s="48"/>
      <c r="M141" s="48"/>
    </row>
    <row r="142" spans="1:21" s="49" customFormat="1" ht="23.25" customHeight="1" x14ac:dyDescent="0.25">
      <c r="A142" s="91"/>
      <c r="B142" s="61" t="s">
        <v>128</v>
      </c>
      <c r="C142" s="92" t="s">
        <v>129</v>
      </c>
      <c r="D142" s="92"/>
      <c r="E142" s="92">
        <v>4</v>
      </c>
      <c r="F142" s="92">
        <v>1</v>
      </c>
      <c r="G142" s="93">
        <f t="shared" si="9"/>
        <v>0</v>
      </c>
      <c r="H142" s="94"/>
      <c r="I142" s="48"/>
      <c r="J142" s="48"/>
      <c r="K142" s="48"/>
      <c r="L142" s="48"/>
      <c r="M142" s="48"/>
    </row>
    <row r="143" spans="1:21" s="49" customFormat="1" ht="12" customHeight="1" x14ac:dyDescent="0.25">
      <c r="A143" s="91"/>
      <c r="B143" s="61" t="s">
        <v>112</v>
      </c>
      <c r="C143" s="92" t="s">
        <v>130</v>
      </c>
      <c r="D143" s="92"/>
      <c r="E143" s="92">
        <v>4</v>
      </c>
      <c r="F143" s="92">
        <v>1</v>
      </c>
      <c r="G143" s="93">
        <f t="shared" si="9"/>
        <v>0</v>
      </c>
      <c r="H143" s="94"/>
      <c r="I143" s="48"/>
      <c r="J143" s="48"/>
      <c r="K143" s="48"/>
      <c r="L143" s="48"/>
      <c r="M143" s="48"/>
    </row>
    <row r="144" spans="1:21" s="49" customFormat="1" ht="12" customHeight="1" x14ac:dyDescent="0.25">
      <c r="A144" s="91"/>
      <c r="B144" s="61" t="s">
        <v>131</v>
      </c>
      <c r="C144" s="92" t="s">
        <v>81</v>
      </c>
      <c r="D144" s="92"/>
      <c r="E144" s="92">
        <v>3</v>
      </c>
      <c r="F144" s="92">
        <v>1</v>
      </c>
      <c r="G144" s="93">
        <f t="shared" si="9"/>
        <v>0</v>
      </c>
      <c r="H144" s="94"/>
      <c r="I144" s="48"/>
      <c r="J144" s="48"/>
      <c r="K144" s="48"/>
      <c r="L144" s="48"/>
      <c r="M144" s="48"/>
    </row>
    <row r="145" spans="1:13" s="49" customFormat="1" x14ac:dyDescent="0.25">
      <c r="A145" s="91"/>
      <c r="B145" s="61" t="s">
        <v>50</v>
      </c>
      <c r="C145" s="92" t="s">
        <v>83</v>
      </c>
      <c r="D145" s="92"/>
      <c r="E145" s="92">
        <v>3</v>
      </c>
      <c r="F145" s="92">
        <v>1</v>
      </c>
      <c r="G145" s="93">
        <f t="shared" si="9"/>
        <v>0</v>
      </c>
      <c r="H145" s="94"/>
      <c r="I145" s="48"/>
      <c r="J145" s="48"/>
      <c r="K145" s="48"/>
      <c r="L145" s="48"/>
      <c r="M145" s="48"/>
    </row>
    <row r="146" spans="1:13" s="49" customFormat="1" x14ac:dyDescent="0.25">
      <c r="A146" s="91"/>
      <c r="B146" s="61"/>
      <c r="C146" s="92" t="s">
        <v>132</v>
      </c>
      <c r="D146" s="92"/>
      <c r="E146" s="92">
        <v>14</v>
      </c>
      <c r="F146" s="92">
        <v>1</v>
      </c>
      <c r="G146" s="93">
        <f t="shared" si="9"/>
        <v>0</v>
      </c>
      <c r="H146" s="94"/>
      <c r="I146" s="48"/>
      <c r="J146" s="48"/>
      <c r="K146" s="48"/>
      <c r="L146" s="48"/>
      <c r="M146" s="48"/>
    </row>
    <row r="147" spans="1:13" s="49" customFormat="1" ht="12" x14ac:dyDescent="0.25">
      <c r="A147" s="91"/>
      <c r="B147" s="95"/>
      <c r="C147" s="77" t="s">
        <v>133</v>
      </c>
      <c r="D147" s="92"/>
      <c r="E147" s="92">
        <v>4</v>
      </c>
      <c r="F147" s="92"/>
      <c r="G147" s="93"/>
      <c r="H147" s="94"/>
      <c r="I147" s="48"/>
      <c r="J147" s="48"/>
      <c r="K147" s="48"/>
      <c r="L147" s="48"/>
      <c r="M147" s="48"/>
    </row>
    <row r="148" spans="1:13" s="49" customFormat="1" x14ac:dyDescent="0.25">
      <c r="A148" s="91"/>
      <c r="B148" s="95"/>
      <c r="C148" s="92" t="s">
        <v>116</v>
      </c>
      <c r="D148" s="92"/>
      <c r="E148" s="92">
        <v>3</v>
      </c>
      <c r="F148" s="92"/>
      <c r="G148" s="93"/>
      <c r="H148" s="94"/>
      <c r="I148" s="48"/>
      <c r="J148" s="48"/>
      <c r="K148" s="48"/>
      <c r="L148" s="48"/>
      <c r="M148" s="48"/>
    </row>
    <row r="149" spans="1:13" s="49" customFormat="1" x14ac:dyDescent="0.25">
      <c r="A149" s="91"/>
      <c r="B149" s="95"/>
      <c r="C149" s="92" t="s">
        <v>117</v>
      </c>
      <c r="D149" s="92"/>
      <c r="E149" s="92">
        <v>3</v>
      </c>
      <c r="F149" s="92"/>
      <c r="G149" s="93"/>
      <c r="H149" s="94"/>
      <c r="I149" s="48"/>
      <c r="J149" s="48"/>
      <c r="K149" s="48"/>
      <c r="L149" s="48"/>
      <c r="M149" s="48"/>
    </row>
    <row r="150" spans="1:13" s="97" customFormat="1" x14ac:dyDescent="0.25">
      <c r="A150" s="91"/>
      <c r="B150" s="95"/>
      <c r="C150" s="92" t="s">
        <v>87</v>
      </c>
      <c r="D150" s="92">
        <f>80000</f>
        <v>80000</v>
      </c>
      <c r="E150" s="92">
        <v>2</v>
      </c>
      <c r="F150" s="92">
        <v>1</v>
      </c>
      <c r="G150" s="93">
        <f t="shared" ref="G150:G158" si="10">E150*D150</f>
        <v>160000</v>
      </c>
      <c r="H150" s="94"/>
      <c r="I150" s="96"/>
      <c r="J150" s="96"/>
      <c r="K150" s="96"/>
      <c r="L150" s="96"/>
      <c r="M150" s="96"/>
    </row>
    <row r="151" spans="1:13" s="97" customFormat="1" x14ac:dyDescent="0.25">
      <c r="A151" s="91"/>
      <c r="B151" s="95"/>
      <c r="C151" s="92" t="s">
        <v>88</v>
      </c>
      <c r="D151" s="92">
        <v>80000</v>
      </c>
      <c r="E151" s="92">
        <v>3</v>
      </c>
      <c r="F151" s="92">
        <v>1</v>
      </c>
      <c r="G151" s="93">
        <f t="shared" si="10"/>
        <v>240000</v>
      </c>
      <c r="H151" s="94"/>
      <c r="I151" s="96"/>
      <c r="J151" s="96"/>
      <c r="K151" s="96"/>
      <c r="L151" s="96"/>
      <c r="M151" s="96"/>
    </row>
    <row r="152" spans="1:13" s="97" customFormat="1" x14ac:dyDescent="0.25">
      <c r="A152" s="91"/>
      <c r="B152" s="95"/>
      <c r="C152" s="92" t="s">
        <v>89</v>
      </c>
      <c r="D152" s="92">
        <v>80000</v>
      </c>
      <c r="E152" s="92">
        <v>4</v>
      </c>
      <c r="F152" s="92">
        <v>1</v>
      </c>
      <c r="G152" s="93">
        <f t="shared" si="10"/>
        <v>320000</v>
      </c>
      <c r="H152" s="94"/>
      <c r="I152" s="96"/>
      <c r="J152" s="96"/>
      <c r="K152" s="96"/>
      <c r="L152" s="96"/>
      <c r="M152" s="96"/>
    </row>
    <row r="153" spans="1:13" s="97" customFormat="1" x14ac:dyDescent="0.25">
      <c r="A153" s="91"/>
      <c r="B153" s="95"/>
      <c r="C153" s="92" t="s">
        <v>91</v>
      </c>
      <c r="D153" s="92">
        <v>80000</v>
      </c>
      <c r="E153" s="92">
        <v>3</v>
      </c>
      <c r="F153" s="92">
        <v>1</v>
      </c>
      <c r="G153" s="93">
        <f t="shared" si="10"/>
        <v>240000</v>
      </c>
      <c r="H153" s="94"/>
      <c r="I153" s="96"/>
      <c r="J153" s="96"/>
      <c r="K153" s="96"/>
      <c r="L153" s="96"/>
      <c r="M153" s="96"/>
    </row>
    <row r="154" spans="1:13" s="97" customFormat="1" x14ac:dyDescent="0.25">
      <c r="A154" s="91"/>
      <c r="B154" s="95"/>
      <c r="C154" s="92" t="s">
        <v>118</v>
      </c>
      <c r="D154" s="92">
        <v>80000</v>
      </c>
      <c r="E154" s="92">
        <v>14</v>
      </c>
      <c r="F154" s="92">
        <v>1</v>
      </c>
      <c r="G154" s="93">
        <f t="shared" si="10"/>
        <v>1120000</v>
      </c>
      <c r="H154" s="94"/>
      <c r="I154" s="96"/>
      <c r="J154" s="96"/>
      <c r="K154" s="96"/>
      <c r="L154" s="96"/>
      <c r="M154" s="96"/>
    </row>
    <row r="155" spans="1:13" s="97" customFormat="1" x14ac:dyDescent="0.25">
      <c r="A155" s="91"/>
      <c r="B155" s="95"/>
      <c r="C155" s="92" t="s">
        <v>134</v>
      </c>
      <c r="D155" s="92">
        <v>80000</v>
      </c>
      <c r="E155" s="92">
        <v>4</v>
      </c>
      <c r="F155" s="92">
        <v>1</v>
      </c>
      <c r="G155" s="93">
        <f t="shared" si="10"/>
        <v>320000</v>
      </c>
      <c r="H155" s="94"/>
      <c r="I155" s="96"/>
      <c r="J155" s="96"/>
      <c r="K155" s="96"/>
      <c r="L155" s="96"/>
      <c r="M155" s="96"/>
    </row>
    <row r="156" spans="1:13" s="97" customFormat="1" x14ac:dyDescent="0.25">
      <c r="A156" s="91"/>
      <c r="B156" s="95"/>
      <c r="C156" s="92" t="s">
        <v>120</v>
      </c>
      <c r="D156" s="92">
        <v>80000</v>
      </c>
      <c r="E156" s="92">
        <v>3</v>
      </c>
      <c r="F156" s="92">
        <v>1</v>
      </c>
      <c r="G156" s="93">
        <f t="shared" si="10"/>
        <v>240000</v>
      </c>
      <c r="H156" s="94"/>
      <c r="I156" s="96"/>
      <c r="J156" s="96"/>
      <c r="K156" s="96"/>
      <c r="L156" s="96"/>
      <c r="M156" s="96"/>
    </row>
    <row r="157" spans="1:13" s="97" customFormat="1" x14ac:dyDescent="0.25">
      <c r="A157" s="91"/>
      <c r="B157" s="95"/>
      <c r="C157" s="92" t="s">
        <v>121</v>
      </c>
      <c r="D157" s="92">
        <v>80000</v>
      </c>
      <c r="E157" s="92">
        <v>3</v>
      </c>
      <c r="F157" s="92">
        <v>1</v>
      </c>
      <c r="G157" s="93">
        <f t="shared" si="10"/>
        <v>240000</v>
      </c>
      <c r="H157" s="94"/>
      <c r="I157" s="96"/>
      <c r="J157" s="96"/>
      <c r="K157" s="96"/>
      <c r="L157" s="96"/>
      <c r="M157" s="96"/>
    </row>
    <row r="158" spans="1:13" s="97" customFormat="1" x14ac:dyDescent="0.25">
      <c r="A158" s="91"/>
      <c r="B158" s="95"/>
      <c r="C158" s="92" t="s">
        <v>135</v>
      </c>
      <c r="D158" s="92">
        <v>350000</v>
      </c>
      <c r="E158" s="92">
        <v>50</v>
      </c>
      <c r="F158" s="92">
        <v>1</v>
      </c>
      <c r="G158" s="119">
        <f t="shared" si="10"/>
        <v>17500000</v>
      </c>
      <c r="H158" s="94"/>
      <c r="I158" s="96"/>
      <c r="J158" s="96"/>
      <c r="K158" s="96"/>
      <c r="L158" s="96"/>
      <c r="M158" s="96"/>
    </row>
    <row r="159" spans="1:13" s="97" customFormat="1" x14ac:dyDescent="0.25">
      <c r="A159" s="91"/>
      <c r="B159" s="95"/>
      <c r="C159" s="120" t="s">
        <v>136</v>
      </c>
      <c r="D159" s="92">
        <v>40000</v>
      </c>
      <c r="E159" s="92">
        <v>7</v>
      </c>
      <c r="F159" s="92">
        <v>1</v>
      </c>
      <c r="G159" s="93">
        <f>F159*E159*D159</f>
        <v>280000</v>
      </c>
      <c r="H159" s="94"/>
      <c r="I159" s="96"/>
      <c r="J159" s="96"/>
      <c r="K159" s="96"/>
      <c r="L159" s="96"/>
      <c r="M159" s="96"/>
    </row>
    <row r="160" spans="1:13" s="97" customFormat="1" x14ac:dyDescent="0.25">
      <c r="A160" s="91"/>
      <c r="B160" s="95"/>
      <c r="C160" s="120" t="s">
        <v>137</v>
      </c>
      <c r="D160" s="92">
        <v>14800</v>
      </c>
      <c r="E160" s="92">
        <v>50</v>
      </c>
      <c r="F160" s="92">
        <v>1</v>
      </c>
      <c r="G160" s="93">
        <f>E160*D160</f>
        <v>740000</v>
      </c>
      <c r="H160" s="94"/>
      <c r="I160" s="96"/>
      <c r="J160" s="96"/>
      <c r="K160" s="96"/>
      <c r="L160" s="96"/>
      <c r="M160" s="96"/>
    </row>
    <row r="161" spans="1:13" s="97" customFormat="1" x14ac:dyDescent="0.25">
      <c r="A161" s="91"/>
      <c r="B161" s="95"/>
      <c r="C161" s="92" t="s">
        <v>138</v>
      </c>
      <c r="D161" s="92">
        <v>50000</v>
      </c>
      <c r="E161" s="92">
        <v>15</v>
      </c>
      <c r="F161" s="92">
        <v>1</v>
      </c>
      <c r="G161" s="93">
        <f>E161*D161</f>
        <v>750000</v>
      </c>
      <c r="H161" s="94"/>
      <c r="I161" s="96"/>
      <c r="J161" s="96"/>
      <c r="K161" s="96"/>
      <c r="L161" s="96"/>
      <c r="M161" s="96"/>
    </row>
    <row r="162" spans="1:13" s="97" customFormat="1" x14ac:dyDescent="0.25">
      <c r="A162" s="91"/>
      <c r="B162" s="95"/>
      <c r="C162" s="92" t="s">
        <v>139</v>
      </c>
      <c r="D162" s="92">
        <v>7000</v>
      </c>
      <c r="E162" s="92">
        <v>50</v>
      </c>
      <c r="F162" s="92">
        <v>1</v>
      </c>
      <c r="G162" s="93">
        <f>E162*D162</f>
        <v>350000</v>
      </c>
      <c r="H162" s="94"/>
      <c r="I162" s="96"/>
      <c r="J162" s="96"/>
      <c r="K162" s="96"/>
      <c r="L162" s="96"/>
      <c r="M162" s="96"/>
    </row>
    <row r="163" spans="1:13" s="49" customFormat="1" ht="12" thickBot="1" x14ac:dyDescent="0.3">
      <c r="A163" s="91"/>
      <c r="B163" s="121"/>
      <c r="C163" s="92"/>
      <c r="D163" s="92"/>
      <c r="E163" s="122"/>
      <c r="F163" s="92"/>
      <c r="G163" s="93"/>
      <c r="H163" s="47"/>
      <c r="I163" s="48"/>
      <c r="J163" s="48"/>
      <c r="K163" s="48"/>
      <c r="L163" s="48"/>
      <c r="M163" s="48"/>
    </row>
    <row r="164" spans="1:13" s="49" customFormat="1" ht="12" thickBot="1" x14ac:dyDescent="0.3">
      <c r="A164" s="91"/>
      <c r="B164" s="121"/>
      <c r="C164" s="122" t="s">
        <v>140</v>
      </c>
      <c r="D164" s="122"/>
      <c r="E164" s="92"/>
      <c r="F164" s="122"/>
      <c r="G164" s="123">
        <f>SUM(G137:G163)</f>
        <v>22800000</v>
      </c>
      <c r="H164" s="124">
        <f>G164/8136</f>
        <v>2802.3598820058996</v>
      </c>
      <c r="I164" s="48"/>
      <c r="J164" s="48"/>
      <c r="K164" s="48"/>
      <c r="L164" s="48"/>
      <c r="M164" s="48"/>
    </row>
    <row r="165" spans="1:13" s="49" customFormat="1" x14ac:dyDescent="0.25">
      <c r="A165" s="91"/>
      <c r="B165" s="121"/>
      <c r="C165" s="92"/>
      <c r="D165" s="92"/>
      <c r="E165" s="48"/>
      <c r="F165" s="92"/>
      <c r="G165" s="93"/>
      <c r="H165" s="47"/>
      <c r="I165" s="48"/>
      <c r="J165" s="48"/>
      <c r="K165" s="48"/>
      <c r="L165" s="48"/>
      <c r="M165" s="48"/>
    </row>
    <row r="167" spans="1:13" ht="18" x14ac:dyDescent="0.25">
      <c r="A167" s="753" t="s">
        <v>141</v>
      </c>
      <c r="B167" s="753"/>
      <c r="C167" s="753"/>
      <c r="D167" s="753"/>
      <c r="E167" s="753"/>
      <c r="F167" s="753"/>
      <c r="G167" s="753"/>
    </row>
    <row r="168" spans="1:13" s="96" customFormat="1" ht="18" x14ac:dyDescent="0.25">
      <c r="A168" s="754" t="s">
        <v>35</v>
      </c>
      <c r="B168" s="753" t="s">
        <v>142</v>
      </c>
      <c r="C168" s="753"/>
      <c r="D168" s="753"/>
      <c r="E168" s="753"/>
      <c r="F168" s="753"/>
      <c r="G168" s="753"/>
      <c r="H168" s="94"/>
    </row>
    <row r="169" spans="1:13" ht="18.75" thickBot="1" x14ac:dyDescent="0.3">
      <c r="A169" s="755"/>
      <c r="B169" s="756" t="s">
        <v>143</v>
      </c>
      <c r="C169" s="756"/>
      <c r="D169" s="756"/>
      <c r="E169" s="756"/>
      <c r="F169" s="756"/>
      <c r="G169" s="756"/>
      <c r="H169" s="47">
        <f>H176+H184+H240+H295+H309+H323+H378+H387+H396+H405+H461+H482+H489+H496+H501+H516+H528+H533+H561+H576</f>
        <v>170003.52343493933</v>
      </c>
      <c r="I169" s="48" t="s">
        <v>144</v>
      </c>
    </row>
    <row r="170" spans="1:13" s="49" customFormat="1" ht="22.5" x14ac:dyDescent="0.25">
      <c r="A170" s="125">
        <v>1.1000000000000001</v>
      </c>
      <c r="B170" s="116" t="s">
        <v>145</v>
      </c>
      <c r="C170" s="117" t="s">
        <v>39</v>
      </c>
      <c r="D170" s="117">
        <v>150000</v>
      </c>
      <c r="E170" s="117">
        <v>1</v>
      </c>
      <c r="F170" s="117">
        <v>1</v>
      </c>
      <c r="G170" s="118">
        <f>D170*E170*F170</f>
        <v>150000</v>
      </c>
      <c r="H170" s="48"/>
      <c r="I170" s="48"/>
      <c r="J170" s="48"/>
      <c r="K170" s="48"/>
      <c r="L170" s="48"/>
      <c r="M170" s="48"/>
    </row>
    <row r="171" spans="1:13" s="49" customFormat="1" x14ac:dyDescent="0.25">
      <c r="A171" s="91"/>
      <c r="B171" s="61" t="s">
        <v>146</v>
      </c>
      <c r="C171" s="92" t="s">
        <v>147</v>
      </c>
      <c r="D171" s="92">
        <v>40000</v>
      </c>
      <c r="E171" s="92">
        <v>7</v>
      </c>
      <c r="F171" s="92">
        <v>1</v>
      </c>
      <c r="G171" s="93">
        <f>D171*E171*F171</f>
        <v>280000</v>
      </c>
      <c r="H171" s="48"/>
      <c r="I171" s="48"/>
      <c r="J171" s="48"/>
      <c r="K171" s="48"/>
      <c r="L171" s="48"/>
      <c r="M171" s="48"/>
    </row>
    <row r="172" spans="1:13" s="49" customFormat="1" ht="22.5" x14ac:dyDescent="0.25">
      <c r="A172" s="91"/>
      <c r="B172" s="61" t="s">
        <v>148</v>
      </c>
      <c r="C172" s="92" t="s">
        <v>149</v>
      </c>
      <c r="D172" s="92">
        <v>7000</v>
      </c>
      <c r="E172" s="92">
        <v>10</v>
      </c>
      <c r="F172" s="92">
        <v>20</v>
      </c>
      <c r="G172" s="93">
        <f>D172*E172*F172</f>
        <v>1400000</v>
      </c>
      <c r="H172" s="48"/>
      <c r="I172" s="48"/>
      <c r="J172" s="48"/>
      <c r="K172" s="48"/>
      <c r="L172" s="48"/>
      <c r="M172" s="48"/>
    </row>
    <row r="173" spans="1:13" s="49" customFormat="1" x14ac:dyDescent="0.25">
      <c r="A173" s="91"/>
      <c r="B173" s="61" t="s">
        <v>150</v>
      </c>
      <c r="C173" s="120" t="s">
        <v>97</v>
      </c>
      <c r="D173" s="92">
        <v>20000</v>
      </c>
      <c r="E173" s="92">
        <v>20</v>
      </c>
      <c r="F173" s="92">
        <v>1</v>
      </c>
      <c r="G173" s="93">
        <f t="shared" ref="G173:G175" si="11">D173*E173*F173</f>
        <v>400000</v>
      </c>
      <c r="H173" s="48"/>
      <c r="I173" s="48"/>
      <c r="J173" s="48"/>
      <c r="K173" s="48"/>
      <c r="L173" s="48"/>
      <c r="M173" s="48"/>
    </row>
    <row r="174" spans="1:13" s="49" customFormat="1" x14ac:dyDescent="0.25">
      <c r="A174" s="91"/>
      <c r="B174" s="61"/>
      <c r="C174" s="92" t="s">
        <v>60</v>
      </c>
      <c r="D174" s="92">
        <v>20000</v>
      </c>
      <c r="E174" s="92">
        <v>20</v>
      </c>
      <c r="F174" s="92">
        <v>1</v>
      </c>
      <c r="G174" s="93">
        <f t="shared" si="11"/>
        <v>400000</v>
      </c>
      <c r="H174" s="48"/>
      <c r="I174" s="48"/>
      <c r="J174" s="48"/>
      <c r="K174" s="48"/>
      <c r="L174" s="48"/>
      <c r="M174" s="48"/>
    </row>
    <row r="175" spans="1:13" s="49" customFormat="1" ht="12" thickBot="1" x14ac:dyDescent="0.3">
      <c r="A175" s="91"/>
      <c r="B175" s="61"/>
      <c r="C175" s="92" t="s">
        <v>138</v>
      </c>
      <c r="D175" s="92">
        <v>50000</v>
      </c>
      <c r="E175" s="92">
        <v>10</v>
      </c>
      <c r="F175" s="92">
        <v>1</v>
      </c>
      <c r="G175" s="93">
        <f t="shared" si="11"/>
        <v>500000</v>
      </c>
      <c r="H175" s="48"/>
      <c r="I175" s="48"/>
      <c r="J175" s="48"/>
      <c r="K175" s="48"/>
      <c r="L175" s="48"/>
      <c r="M175" s="48"/>
    </row>
    <row r="176" spans="1:13" s="49" customFormat="1" ht="12" thickBot="1" x14ac:dyDescent="0.3">
      <c r="A176" s="91"/>
      <c r="B176" s="120"/>
      <c r="C176" s="92"/>
      <c r="D176" s="92"/>
      <c r="E176" s="92"/>
      <c r="F176" s="92"/>
      <c r="G176" s="126">
        <f>SUM(G170:G175)</f>
        <v>3130000</v>
      </c>
      <c r="H176" s="127">
        <f>G176/8136</f>
        <v>384.70993117010818</v>
      </c>
      <c r="I176" s="48"/>
      <c r="J176" s="48"/>
      <c r="K176" s="48"/>
      <c r="L176" s="48"/>
      <c r="M176" s="48"/>
    </row>
    <row r="177" spans="1:13" s="49" customFormat="1" ht="12" thickBot="1" x14ac:dyDescent="0.3">
      <c r="A177" s="91"/>
      <c r="B177" s="120"/>
      <c r="C177" s="92"/>
      <c r="D177" s="92"/>
      <c r="E177" s="92"/>
      <c r="F177" s="92"/>
      <c r="G177" s="93"/>
      <c r="H177" s="48"/>
      <c r="I177" s="48"/>
      <c r="J177" s="48"/>
      <c r="K177" s="48"/>
      <c r="L177" s="48"/>
      <c r="M177" s="48"/>
    </row>
    <row r="178" spans="1:13" s="49" customFormat="1" ht="22.5" x14ac:dyDescent="0.25">
      <c r="A178" s="125">
        <v>1.2</v>
      </c>
      <c r="B178" s="116" t="s">
        <v>151</v>
      </c>
      <c r="C178" s="117" t="s">
        <v>152</v>
      </c>
      <c r="D178" s="117">
        <v>150000</v>
      </c>
      <c r="E178" s="117">
        <v>1</v>
      </c>
      <c r="F178" s="117">
        <v>4</v>
      </c>
      <c r="G178" s="118">
        <f t="shared" ref="G178" si="12">D178*E178*F178</f>
        <v>600000</v>
      </c>
      <c r="H178" s="48"/>
      <c r="I178" s="48"/>
      <c r="J178" s="48"/>
      <c r="K178" s="48"/>
      <c r="L178" s="48"/>
      <c r="M178" s="48"/>
    </row>
    <row r="179" spans="1:13" s="49" customFormat="1" x14ac:dyDescent="0.25">
      <c r="A179" s="91"/>
      <c r="B179" s="61" t="s">
        <v>146</v>
      </c>
      <c r="C179" s="92" t="s">
        <v>147</v>
      </c>
      <c r="D179" s="92">
        <v>40000</v>
      </c>
      <c r="E179" s="92">
        <v>7</v>
      </c>
      <c r="F179" s="92">
        <v>4</v>
      </c>
      <c r="G179" s="93">
        <f>D179*E179*F179</f>
        <v>1120000</v>
      </c>
      <c r="H179" s="48"/>
      <c r="I179" s="48"/>
      <c r="J179" s="48"/>
      <c r="K179" s="48"/>
      <c r="L179" s="48"/>
      <c r="M179" s="48"/>
    </row>
    <row r="180" spans="1:13" s="49" customFormat="1" ht="22.5" x14ac:dyDescent="0.25">
      <c r="A180" s="91"/>
      <c r="B180" s="61" t="s">
        <v>148</v>
      </c>
      <c r="C180" s="128" t="s">
        <v>149</v>
      </c>
      <c r="D180" s="92">
        <v>7000</v>
      </c>
      <c r="E180" s="92">
        <v>10</v>
      </c>
      <c r="F180" s="92">
        <v>80</v>
      </c>
      <c r="G180" s="93">
        <f>D180*E180*F180</f>
        <v>5600000</v>
      </c>
      <c r="H180" s="48"/>
      <c r="I180" s="48"/>
      <c r="J180" s="48"/>
      <c r="K180" s="48"/>
      <c r="L180" s="48"/>
      <c r="M180" s="48"/>
    </row>
    <row r="181" spans="1:13" s="49" customFormat="1" x14ac:dyDescent="0.25">
      <c r="A181" s="91"/>
      <c r="B181" s="61" t="s">
        <v>150</v>
      </c>
      <c r="C181" s="120" t="s">
        <v>97</v>
      </c>
      <c r="D181" s="92">
        <v>20000</v>
      </c>
      <c r="E181" s="92">
        <v>20</v>
      </c>
      <c r="F181" s="92">
        <v>4</v>
      </c>
      <c r="G181" s="93">
        <f t="shared" ref="G181:G183" si="13">D181*E181*F181</f>
        <v>1600000</v>
      </c>
      <c r="H181" s="48"/>
      <c r="I181" s="48"/>
      <c r="J181" s="48"/>
      <c r="K181" s="48"/>
      <c r="L181" s="48"/>
      <c r="M181" s="48"/>
    </row>
    <row r="182" spans="1:13" s="49" customFormat="1" x14ac:dyDescent="0.25">
      <c r="A182" s="91"/>
      <c r="B182" s="61"/>
      <c r="C182" s="92" t="s">
        <v>60</v>
      </c>
      <c r="D182" s="92">
        <v>20000</v>
      </c>
      <c r="E182" s="92">
        <v>20</v>
      </c>
      <c r="F182" s="92">
        <v>4</v>
      </c>
      <c r="G182" s="93">
        <f t="shared" si="13"/>
        <v>1600000</v>
      </c>
      <c r="H182" s="48"/>
      <c r="I182" s="48"/>
      <c r="J182" s="48"/>
      <c r="K182" s="48"/>
      <c r="L182" s="48"/>
      <c r="M182" s="48"/>
    </row>
    <row r="183" spans="1:13" s="49" customFormat="1" ht="12" thickBot="1" x14ac:dyDescent="0.3">
      <c r="A183" s="91"/>
      <c r="B183" s="61"/>
      <c r="C183" s="92" t="s">
        <v>138</v>
      </c>
      <c r="D183" s="92">
        <v>50000</v>
      </c>
      <c r="E183" s="92">
        <v>10</v>
      </c>
      <c r="F183" s="92">
        <v>4</v>
      </c>
      <c r="G183" s="93">
        <f t="shared" si="13"/>
        <v>2000000</v>
      </c>
      <c r="H183" s="48"/>
      <c r="I183" s="48"/>
      <c r="J183" s="48"/>
      <c r="K183" s="48"/>
      <c r="L183" s="48"/>
      <c r="M183" s="48"/>
    </row>
    <row r="184" spans="1:13" s="49" customFormat="1" ht="12" thickBot="1" x14ac:dyDescent="0.3">
      <c r="A184" s="91"/>
      <c r="B184" s="120"/>
      <c r="C184" s="92"/>
      <c r="D184" s="92"/>
      <c r="E184" s="92"/>
      <c r="F184" s="92"/>
      <c r="G184" s="126">
        <f>SUM(G178:G183)</f>
        <v>12520000</v>
      </c>
      <c r="H184" s="127">
        <f>G184/8136</f>
        <v>1538.8397246804327</v>
      </c>
      <c r="I184" s="48"/>
      <c r="J184" s="48"/>
      <c r="K184" s="48"/>
      <c r="L184" s="48"/>
      <c r="M184" s="48"/>
    </row>
    <row r="185" spans="1:13" s="49" customFormat="1" ht="12" thickBot="1" x14ac:dyDescent="0.3">
      <c r="A185" s="91"/>
      <c r="B185" s="120"/>
      <c r="C185" s="92"/>
      <c r="D185" s="92"/>
      <c r="E185" s="92"/>
      <c r="F185" s="92"/>
      <c r="G185" s="118"/>
      <c r="H185" s="96"/>
      <c r="I185" s="48"/>
      <c r="J185" s="48"/>
      <c r="K185" s="48"/>
      <c r="L185" s="48"/>
      <c r="M185" s="48"/>
    </row>
    <row r="186" spans="1:13" s="97" customFormat="1" ht="22.5" x14ac:dyDescent="0.25">
      <c r="A186" s="125">
        <v>1.3</v>
      </c>
      <c r="B186" s="129" t="s">
        <v>153</v>
      </c>
      <c r="C186" s="117" t="s">
        <v>39</v>
      </c>
      <c r="D186" s="117">
        <v>150000</v>
      </c>
      <c r="E186" s="117">
        <v>1</v>
      </c>
      <c r="F186" s="117">
        <v>1</v>
      </c>
      <c r="G186" s="118">
        <f t="shared" ref="G186" si="14">D186*E186*F186</f>
        <v>150000</v>
      </c>
      <c r="H186" s="96"/>
      <c r="I186" s="96"/>
      <c r="J186" s="96"/>
      <c r="K186" s="96"/>
      <c r="L186" s="96"/>
      <c r="M186" s="96"/>
    </row>
    <row r="187" spans="1:13" s="97" customFormat="1" x14ac:dyDescent="0.25">
      <c r="A187" s="91"/>
      <c r="B187" s="61" t="s">
        <v>154</v>
      </c>
      <c r="C187" s="92" t="s">
        <v>155</v>
      </c>
      <c r="D187" s="92">
        <v>170000</v>
      </c>
      <c r="E187" s="92">
        <v>1</v>
      </c>
      <c r="F187" s="92">
        <v>3</v>
      </c>
      <c r="G187" s="93">
        <f>D187*E187*F187</f>
        <v>510000</v>
      </c>
      <c r="H187" s="96"/>
      <c r="I187" s="96"/>
      <c r="J187" s="96"/>
      <c r="K187" s="96"/>
      <c r="L187" s="96"/>
      <c r="M187" s="96"/>
    </row>
    <row r="188" spans="1:13" s="97" customFormat="1" x14ac:dyDescent="0.25">
      <c r="A188" s="91"/>
      <c r="B188" s="61" t="s">
        <v>156</v>
      </c>
      <c r="C188" s="92" t="s">
        <v>157</v>
      </c>
      <c r="D188" s="92">
        <f>D190</f>
        <v>100000</v>
      </c>
      <c r="E188" s="92">
        <v>1</v>
      </c>
      <c r="F188" s="92">
        <v>4</v>
      </c>
      <c r="G188" s="93">
        <f t="shared" ref="G188" si="15">D188*E188*F188</f>
        <v>400000</v>
      </c>
      <c r="H188" s="96"/>
      <c r="I188" s="96"/>
      <c r="J188" s="96"/>
      <c r="K188" s="96"/>
      <c r="L188" s="96"/>
      <c r="M188" s="96"/>
    </row>
    <row r="189" spans="1:13" s="97" customFormat="1" x14ac:dyDescent="0.25">
      <c r="A189" s="91"/>
      <c r="B189" s="61" t="s">
        <v>158</v>
      </c>
      <c r="C189" s="92" t="s">
        <v>159</v>
      </c>
      <c r="D189" s="92">
        <v>150000</v>
      </c>
      <c r="E189" s="92">
        <v>2</v>
      </c>
      <c r="F189" s="92">
        <v>3</v>
      </c>
      <c r="G189" s="93">
        <f>D189*E189*F189</f>
        <v>900000</v>
      </c>
      <c r="H189" s="96"/>
      <c r="I189" s="96"/>
      <c r="J189" s="96"/>
      <c r="K189" s="96"/>
      <c r="L189" s="96"/>
      <c r="M189" s="96"/>
    </row>
    <row r="190" spans="1:13" s="97" customFormat="1" x14ac:dyDescent="0.25">
      <c r="A190" s="91"/>
      <c r="B190" s="130"/>
      <c r="C190" s="92" t="s">
        <v>160</v>
      </c>
      <c r="D190" s="92">
        <v>100000</v>
      </c>
      <c r="E190" s="92">
        <v>2</v>
      </c>
      <c r="F190" s="92">
        <v>4</v>
      </c>
      <c r="G190" s="93">
        <f t="shared" ref="G190:G194" si="16">D190*E190*F190</f>
        <v>800000</v>
      </c>
      <c r="H190" s="96"/>
      <c r="I190" s="96"/>
      <c r="J190" s="96"/>
      <c r="K190" s="96"/>
      <c r="L190" s="96"/>
      <c r="M190" s="96"/>
    </row>
    <row r="191" spans="1:13" s="97" customFormat="1" ht="33.75" x14ac:dyDescent="0.25">
      <c r="A191" s="91"/>
      <c r="B191" s="130"/>
      <c r="C191" s="120" t="s">
        <v>161</v>
      </c>
      <c r="D191" s="92">
        <f>D189</f>
        <v>150000</v>
      </c>
      <c r="E191" s="92">
        <v>7</v>
      </c>
      <c r="F191" s="92">
        <v>3</v>
      </c>
      <c r="G191" s="93">
        <f t="shared" si="16"/>
        <v>3150000</v>
      </c>
      <c r="H191" s="96"/>
      <c r="I191" s="96"/>
      <c r="J191" s="96"/>
      <c r="K191" s="96"/>
      <c r="L191" s="96"/>
      <c r="M191" s="96"/>
    </row>
    <row r="192" spans="1:13" s="97" customFormat="1" ht="33.75" x14ac:dyDescent="0.25">
      <c r="A192" s="91"/>
      <c r="C192" s="120" t="s">
        <v>162</v>
      </c>
      <c r="D192" s="92">
        <v>100000</v>
      </c>
      <c r="E192" s="92">
        <v>7</v>
      </c>
      <c r="F192" s="92">
        <v>4</v>
      </c>
      <c r="G192" s="93">
        <f t="shared" si="16"/>
        <v>2800000</v>
      </c>
      <c r="H192" s="96"/>
      <c r="I192" s="96"/>
      <c r="J192" s="96"/>
      <c r="K192" s="96"/>
      <c r="L192" s="96"/>
      <c r="M192" s="96"/>
    </row>
    <row r="193" spans="1:13" s="97" customFormat="1" x14ac:dyDescent="0.25">
      <c r="A193" s="91"/>
      <c r="C193" s="92" t="s">
        <v>163</v>
      </c>
      <c r="D193" s="92">
        <f>D191</f>
        <v>150000</v>
      </c>
      <c r="E193" s="92">
        <v>2</v>
      </c>
      <c r="F193" s="92">
        <v>3</v>
      </c>
      <c r="G193" s="93">
        <f t="shared" si="16"/>
        <v>900000</v>
      </c>
      <c r="H193" s="96"/>
      <c r="I193" s="96"/>
      <c r="J193" s="96"/>
      <c r="K193" s="96"/>
      <c r="L193" s="96"/>
      <c r="M193" s="96"/>
    </row>
    <row r="194" spans="1:13" s="97" customFormat="1" x14ac:dyDescent="0.25">
      <c r="A194" s="91"/>
      <c r="C194" s="92" t="s">
        <v>164</v>
      </c>
      <c r="D194" s="92">
        <v>100000</v>
      </c>
      <c r="E194" s="92">
        <v>2</v>
      </c>
      <c r="F194" s="92">
        <v>4</v>
      </c>
      <c r="G194" s="93">
        <f t="shared" si="16"/>
        <v>800000</v>
      </c>
      <c r="H194" s="96"/>
      <c r="I194" s="96"/>
      <c r="J194" s="96"/>
      <c r="K194" s="96"/>
      <c r="L194" s="96"/>
      <c r="M194" s="96"/>
    </row>
    <row r="195" spans="1:13" s="97" customFormat="1" x14ac:dyDescent="0.25">
      <c r="A195" s="91"/>
      <c r="C195" s="92"/>
      <c r="D195" s="92"/>
      <c r="E195" s="92"/>
      <c r="F195" s="92"/>
      <c r="G195" s="93"/>
      <c r="H195" s="96"/>
      <c r="I195" s="96"/>
      <c r="J195" s="96"/>
      <c r="K195" s="96"/>
      <c r="L195" s="96"/>
      <c r="M195" s="96"/>
    </row>
    <row r="196" spans="1:13" s="97" customFormat="1" x14ac:dyDescent="0.25">
      <c r="A196" s="91"/>
      <c r="C196" s="92" t="s">
        <v>165</v>
      </c>
      <c r="D196" s="92">
        <f>D193</f>
        <v>150000</v>
      </c>
      <c r="E196" s="92">
        <v>7</v>
      </c>
      <c r="F196" s="92">
        <v>3</v>
      </c>
      <c r="G196" s="93">
        <f t="shared" ref="G196:G199" si="17">D196*E196*F196</f>
        <v>3150000</v>
      </c>
      <c r="H196" s="96"/>
      <c r="I196" s="96"/>
      <c r="J196" s="96"/>
      <c r="K196" s="96"/>
      <c r="L196" s="96"/>
      <c r="M196" s="96"/>
    </row>
    <row r="197" spans="1:13" s="97" customFormat="1" x14ac:dyDescent="0.25">
      <c r="A197" s="91"/>
      <c r="C197" s="92" t="s">
        <v>166</v>
      </c>
      <c r="D197" s="92">
        <v>100000</v>
      </c>
      <c r="E197" s="92">
        <v>7</v>
      </c>
      <c r="F197" s="92">
        <v>4</v>
      </c>
      <c r="G197" s="93">
        <f t="shared" si="17"/>
        <v>2800000</v>
      </c>
      <c r="H197" s="96"/>
      <c r="I197" s="96"/>
      <c r="J197" s="96"/>
      <c r="K197" s="96"/>
      <c r="L197" s="96"/>
      <c r="M197" s="96"/>
    </row>
    <row r="198" spans="1:13" s="97" customFormat="1" x14ac:dyDescent="0.25">
      <c r="A198" s="91"/>
      <c r="C198" s="92" t="s">
        <v>167</v>
      </c>
      <c r="D198" s="92">
        <f>D196</f>
        <v>150000</v>
      </c>
      <c r="E198" s="92">
        <v>1</v>
      </c>
      <c r="F198" s="92">
        <v>3</v>
      </c>
      <c r="G198" s="93">
        <f t="shared" si="17"/>
        <v>450000</v>
      </c>
      <c r="H198" s="96"/>
      <c r="I198" s="96"/>
      <c r="J198" s="96"/>
      <c r="K198" s="96"/>
      <c r="L198" s="96"/>
      <c r="M198" s="96"/>
    </row>
    <row r="199" spans="1:13" s="97" customFormat="1" x14ac:dyDescent="0.25">
      <c r="A199" s="91"/>
      <c r="C199" s="92" t="s">
        <v>168</v>
      </c>
      <c r="D199" s="92">
        <v>100000</v>
      </c>
      <c r="E199" s="92">
        <f>E198</f>
        <v>1</v>
      </c>
      <c r="F199" s="92">
        <v>4</v>
      </c>
      <c r="G199" s="93">
        <f t="shared" si="17"/>
        <v>400000</v>
      </c>
      <c r="H199" s="96"/>
      <c r="I199" s="96"/>
      <c r="J199" s="96"/>
      <c r="K199" s="96"/>
      <c r="L199" s="96"/>
      <c r="M199" s="96"/>
    </row>
    <row r="200" spans="1:13" s="97" customFormat="1" x14ac:dyDescent="0.25">
      <c r="A200" s="91"/>
      <c r="C200" s="92"/>
      <c r="D200" s="92"/>
      <c r="E200" s="92"/>
      <c r="F200" s="92"/>
      <c r="G200" s="93"/>
      <c r="H200" s="96"/>
      <c r="I200" s="96"/>
      <c r="J200" s="96"/>
      <c r="K200" s="96"/>
      <c r="L200" s="96"/>
      <c r="M200" s="96"/>
    </row>
    <row r="201" spans="1:13" s="97" customFormat="1" x14ac:dyDescent="0.25">
      <c r="A201" s="91"/>
      <c r="C201" s="92" t="s">
        <v>169</v>
      </c>
      <c r="D201" s="92">
        <f>D196</f>
        <v>150000</v>
      </c>
      <c r="E201" s="92">
        <f>3*3</f>
        <v>9</v>
      </c>
      <c r="F201" s="92">
        <v>5</v>
      </c>
      <c r="G201" s="93">
        <f t="shared" ref="G201:G204" si="18">D201*E201*F201</f>
        <v>6750000</v>
      </c>
      <c r="H201" s="96"/>
      <c r="I201" s="96"/>
      <c r="J201" s="96"/>
      <c r="K201" s="96"/>
      <c r="L201" s="96"/>
      <c r="M201" s="96"/>
    </row>
    <row r="202" spans="1:13" s="97" customFormat="1" x14ac:dyDescent="0.25">
      <c r="A202" s="91"/>
      <c r="C202" s="92" t="s">
        <v>170</v>
      </c>
      <c r="D202" s="92">
        <v>100000</v>
      </c>
      <c r="E202" s="92">
        <f>E201</f>
        <v>9</v>
      </c>
      <c r="F202" s="92">
        <v>6</v>
      </c>
      <c r="G202" s="93">
        <f t="shared" si="18"/>
        <v>5400000</v>
      </c>
      <c r="H202" s="96"/>
      <c r="I202" s="96"/>
      <c r="J202" s="96"/>
      <c r="K202" s="96"/>
      <c r="L202" s="96"/>
      <c r="M202" s="96"/>
    </row>
    <row r="203" spans="1:13" s="97" customFormat="1" x14ac:dyDescent="0.25">
      <c r="A203" s="91"/>
      <c r="C203" s="92" t="s">
        <v>171</v>
      </c>
      <c r="D203" s="92">
        <f>D201</f>
        <v>150000</v>
      </c>
      <c r="E203" s="92">
        <f>3*1</f>
        <v>3</v>
      </c>
      <c r="F203" s="92">
        <v>5</v>
      </c>
      <c r="G203" s="93">
        <f t="shared" si="18"/>
        <v>2250000</v>
      </c>
      <c r="H203" s="96"/>
      <c r="I203" s="96"/>
      <c r="J203" s="96"/>
      <c r="K203" s="96"/>
      <c r="L203" s="96"/>
      <c r="M203" s="96"/>
    </row>
    <row r="204" spans="1:13" s="97" customFormat="1" x14ac:dyDescent="0.25">
      <c r="A204" s="91"/>
      <c r="C204" s="92" t="s">
        <v>172</v>
      </c>
      <c r="D204" s="92">
        <v>100000</v>
      </c>
      <c r="E204" s="92">
        <f>E203</f>
        <v>3</v>
      </c>
      <c r="F204" s="92">
        <v>6</v>
      </c>
      <c r="G204" s="93">
        <f t="shared" si="18"/>
        <v>1800000</v>
      </c>
      <c r="H204" s="96"/>
      <c r="I204" s="96"/>
      <c r="J204" s="96"/>
      <c r="K204" s="96"/>
      <c r="L204" s="96"/>
      <c r="M204" s="96"/>
    </row>
    <row r="205" spans="1:13" s="97" customFormat="1" x14ac:dyDescent="0.25">
      <c r="A205" s="91"/>
      <c r="C205" s="92"/>
      <c r="D205" s="92"/>
      <c r="E205" s="92"/>
      <c r="F205" s="92"/>
      <c r="G205" s="93"/>
      <c r="H205" s="96"/>
      <c r="I205" s="96"/>
      <c r="J205" s="96"/>
      <c r="K205" s="96"/>
      <c r="L205" s="96"/>
      <c r="M205" s="96"/>
    </row>
    <row r="206" spans="1:13" s="97" customFormat="1" x14ac:dyDescent="0.25">
      <c r="A206" s="91"/>
      <c r="C206" s="92" t="s">
        <v>173</v>
      </c>
      <c r="D206" s="92">
        <f>D201</f>
        <v>150000</v>
      </c>
      <c r="E206" s="92">
        <f>13*3</f>
        <v>39</v>
      </c>
      <c r="F206" s="92">
        <v>4</v>
      </c>
      <c r="G206" s="93">
        <f t="shared" ref="G206:G209" si="19">D206*E206*F206</f>
        <v>23400000</v>
      </c>
      <c r="H206" s="96"/>
      <c r="I206" s="96"/>
      <c r="J206" s="96"/>
      <c r="K206" s="96"/>
      <c r="L206" s="96"/>
      <c r="M206" s="96"/>
    </row>
    <row r="207" spans="1:13" s="97" customFormat="1" x14ac:dyDescent="0.25">
      <c r="A207" s="91"/>
      <c r="C207" s="92" t="s">
        <v>174</v>
      </c>
      <c r="D207" s="92">
        <v>100000</v>
      </c>
      <c r="E207" s="92">
        <f>E206</f>
        <v>39</v>
      </c>
      <c r="F207" s="92">
        <v>5</v>
      </c>
      <c r="G207" s="93">
        <f t="shared" si="19"/>
        <v>19500000</v>
      </c>
      <c r="H207" s="96"/>
      <c r="I207" s="96"/>
      <c r="J207" s="96"/>
      <c r="K207" s="96"/>
      <c r="L207" s="96"/>
      <c r="M207" s="96"/>
    </row>
    <row r="208" spans="1:13" s="97" customFormat="1" x14ac:dyDescent="0.25">
      <c r="A208" s="91"/>
      <c r="C208" s="92" t="s">
        <v>175</v>
      </c>
      <c r="D208" s="92">
        <f>D203</f>
        <v>150000</v>
      </c>
      <c r="E208" s="92">
        <f>13*1</f>
        <v>13</v>
      </c>
      <c r="F208" s="92">
        <v>4</v>
      </c>
      <c r="G208" s="93">
        <f t="shared" si="19"/>
        <v>7800000</v>
      </c>
      <c r="H208" s="96"/>
      <c r="I208" s="96"/>
      <c r="J208" s="96"/>
      <c r="K208" s="96"/>
      <c r="L208" s="96"/>
      <c r="M208" s="96"/>
    </row>
    <row r="209" spans="1:13" s="97" customFormat="1" x14ac:dyDescent="0.25">
      <c r="A209" s="91"/>
      <c r="C209" s="92" t="s">
        <v>176</v>
      </c>
      <c r="D209" s="92">
        <v>100000</v>
      </c>
      <c r="E209" s="92">
        <f>E208</f>
        <v>13</v>
      </c>
      <c r="F209" s="92">
        <v>5</v>
      </c>
      <c r="G209" s="93">
        <f t="shared" si="19"/>
        <v>6500000</v>
      </c>
      <c r="H209" s="96"/>
      <c r="I209" s="96"/>
      <c r="J209" s="96"/>
      <c r="K209" s="96"/>
      <c r="L209" s="96"/>
      <c r="M209" s="96"/>
    </row>
    <row r="210" spans="1:13" s="97" customFormat="1" x14ac:dyDescent="0.25">
      <c r="A210" s="91"/>
      <c r="C210" s="92"/>
      <c r="D210" s="92"/>
      <c r="E210" s="92"/>
      <c r="F210" s="92"/>
      <c r="G210" s="93"/>
      <c r="H210" s="96"/>
      <c r="I210" s="96"/>
      <c r="J210" s="96"/>
      <c r="K210" s="96"/>
      <c r="L210" s="96"/>
      <c r="M210" s="96"/>
    </row>
    <row r="211" spans="1:13" s="132" customFormat="1" x14ac:dyDescent="0.25">
      <c r="A211" s="91"/>
      <c r="B211" s="61"/>
      <c r="C211" s="92" t="s">
        <v>177</v>
      </c>
      <c r="D211" s="92">
        <v>7000</v>
      </c>
      <c r="E211" s="92">
        <f>137/6</f>
        <v>22.833333333333332</v>
      </c>
      <c r="F211" s="92">
        <v>2</v>
      </c>
      <c r="G211" s="93">
        <f t="shared" ref="G211:G229" si="20">D211*E211*F211</f>
        <v>319666.66666666663</v>
      </c>
      <c r="H211" s="131"/>
      <c r="I211" s="131"/>
      <c r="J211" s="131"/>
      <c r="K211" s="131"/>
      <c r="L211" s="131"/>
      <c r="M211" s="131"/>
    </row>
    <row r="212" spans="1:13" s="132" customFormat="1" x14ac:dyDescent="0.25">
      <c r="A212" s="91"/>
      <c r="B212" s="61"/>
      <c r="C212" s="92" t="s">
        <v>178</v>
      </c>
      <c r="D212" s="92">
        <v>7000</v>
      </c>
      <c r="E212" s="92">
        <f>61/6</f>
        <v>10.166666666666666</v>
      </c>
      <c r="F212" s="92">
        <v>2</v>
      </c>
      <c r="G212" s="93">
        <f t="shared" si="20"/>
        <v>142333.33333333331</v>
      </c>
      <c r="H212" s="131"/>
      <c r="I212" s="131"/>
      <c r="J212" s="131"/>
      <c r="K212" s="131"/>
      <c r="L212" s="131"/>
      <c r="M212" s="131"/>
    </row>
    <row r="213" spans="1:13" s="97" customFormat="1" x14ac:dyDescent="0.25">
      <c r="A213" s="91"/>
      <c r="B213" s="61"/>
      <c r="C213" s="92" t="s">
        <v>179</v>
      </c>
      <c r="D213" s="92">
        <v>7000</v>
      </c>
      <c r="E213" s="92">
        <f>757/6</f>
        <v>126.16666666666667</v>
      </c>
      <c r="F213" s="92">
        <v>2</v>
      </c>
      <c r="G213" s="93">
        <f t="shared" si="20"/>
        <v>1766333.3333333335</v>
      </c>
      <c r="H213" s="96"/>
      <c r="I213" s="96"/>
      <c r="J213" s="96"/>
      <c r="K213" s="96"/>
      <c r="L213" s="96"/>
      <c r="M213" s="96"/>
    </row>
    <row r="214" spans="1:13" s="97" customFormat="1" x14ac:dyDescent="0.25">
      <c r="A214" s="91"/>
      <c r="B214" s="61"/>
      <c r="C214" s="92" t="s">
        <v>180</v>
      </c>
      <c r="D214" s="92">
        <v>7000</v>
      </c>
      <c r="E214" s="92">
        <f>680/6</f>
        <v>113.33333333333333</v>
      </c>
      <c r="F214" s="92">
        <v>2</v>
      </c>
      <c r="G214" s="93">
        <f t="shared" si="20"/>
        <v>1586666.6666666665</v>
      </c>
      <c r="H214" s="96"/>
      <c r="I214" s="96"/>
      <c r="J214" s="96"/>
      <c r="K214" s="96"/>
      <c r="L214" s="96"/>
      <c r="M214" s="96"/>
    </row>
    <row r="215" spans="1:13" s="97" customFormat="1" x14ac:dyDescent="0.25">
      <c r="A215" s="91"/>
      <c r="B215" s="61"/>
      <c r="C215" s="92" t="s">
        <v>181</v>
      </c>
      <c r="D215" s="92">
        <v>7000</v>
      </c>
      <c r="E215" s="92">
        <f>568/6</f>
        <v>94.666666666666671</v>
      </c>
      <c r="F215" s="92">
        <v>2</v>
      </c>
      <c r="G215" s="93">
        <f t="shared" si="20"/>
        <v>1325333.3333333335</v>
      </c>
      <c r="H215" s="96"/>
      <c r="I215" s="96"/>
      <c r="J215" s="96"/>
      <c r="K215" s="96"/>
      <c r="L215" s="96"/>
      <c r="M215" s="96"/>
    </row>
    <row r="216" spans="1:13" s="97" customFormat="1" x14ac:dyDescent="0.25">
      <c r="A216" s="91"/>
      <c r="B216" s="61"/>
      <c r="C216" s="92" t="s">
        <v>182</v>
      </c>
      <c r="D216" s="92">
        <v>7000</v>
      </c>
      <c r="E216" s="92">
        <f>768/6</f>
        <v>128</v>
      </c>
      <c r="F216" s="92">
        <v>2</v>
      </c>
      <c r="G216" s="93">
        <f t="shared" si="20"/>
        <v>1792000</v>
      </c>
      <c r="H216" s="96"/>
      <c r="I216" s="96"/>
      <c r="J216" s="96"/>
      <c r="K216" s="96"/>
      <c r="L216" s="96"/>
      <c r="M216" s="96"/>
    </row>
    <row r="217" spans="1:13" s="97" customFormat="1" x14ac:dyDescent="0.25">
      <c r="A217" s="91"/>
      <c r="B217" s="61"/>
      <c r="C217" s="92" t="s">
        <v>183</v>
      </c>
      <c r="D217" s="92">
        <v>7000</v>
      </c>
      <c r="E217" s="92">
        <f>1024/7</f>
        <v>146.28571428571428</v>
      </c>
      <c r="F217" s="92">
        <v>2</v>
      </c>
      <c r="G217" s="93">
        <f t="shared" si="20"/>
        <v>2048000</v>
      </c>
      <c r="H217" s="96"/>
      <c r="I217" s="96"/>
      <c r="J217" s="96"/>
      <c r="K217" s="96"/>
      <c r="L217" s="96"/>
      <c r="M217" s="96"/>
    </row>
    <row r="218" spans="1:13" s="97" customFormat="1" x14ac:dyDescent="0.25">
      <c r="A218" s="91"/>
      <c r="B218" s="61"/>
      <c r="C218" s="92" t="s">
        <v>184</v>
      </c>
      <c r="D218" s="92">
        <v>7000</v>
      </c>
      <c r="E218" s="92">
        <f>812/7</f>
        <v>116</v>
      </c>
      <c r="F218" s="92">
        <v>2</v>
      </c>
      <c r="G218" s="93">
        <f t="shared" si="20"/>
        <v>1624000</v>
      </c>
      <c r="H218" s="96"/>
      <c r="I218" s="96"/>
      <c r="J218" s="96"/>
      <c r="K218" s="96"/>
      <c r="L218" s="96"/>
      <c r="M218" s="96"/>
    </row>
    <row r="219" spans="1:13" s="97" customFormat="1" x14ac:dyDescent="0.25">
      <c r="A219" s="91"/>
      <c r="B219" s="61"/>
      <c r="C219" s="92" t="s">
        <v>185</v>
      </c>
      <c r="D219" s="92">
        <v>7000</v>
      </c>
      <c r="E219" s="92">
        <f>817/7</f>
        <v>116.71428571428571</v>
      </c>
      <c r="F219" s="92">
        <v>2</v>
      </c>
      <c r="G219" s="93">
        <f t="shared" si="20"/>
        <v>1634000</v>
      </c>
      <c r="H219" s="96"/>
      <c r="I219" s="96"/>
      <c r="J219" s="96"/>
      <c r="K219" s="96"/>
      <c r="L219" s="96"/>
      <c r="M219" s="96"/>
    </row>
    <row r="220" spans="1:13" s="97" customFormat="1" x14ac:dyDescent="0.25">
      <c r="A220" s="91"/>
      <c r="B220" s="61"/>
      <c r="C220" s="92" t="s">
        <v>186</v>
      </c>
      <c r="D220" s="92">
        <v>7000</v>
      </c>
      <c r="E220" s="92">
        <f>940/7</f>
        <v>134.28571428571428</v>
      </c>
      <c r="F220" s="92">
        <v>2</v>
      </c>
      <c r="G220" s="93">
        <f t="shared" si="20"/>
        <v>1880000</v>
      </c>
      <c r="H220" s="96"/>
      <c r="I220" s="96"/>
      <c r="J220" s="96"/>
      <c r="K220" s="96"/>
      <c r="L220" s="96"/>
      <c r="M220" s="96"/>
    </row>
    <row r="221" spans="1:13" s="97" customFormat="1" x14ac:dyDescent="0.25">
      <c r="A221" s="91"/>
      <c r="B221" s="61"/>
      <c r="C221" s="92" t="s">
        <v>187</v>
      </c>
      <c r="D221" s="92">
        <v>7000</v>
      </c>
      <c r="E221" s="92">
        <f>444/6</f>
        <v>74</v>
      </c>
      <c r="F221" s="92">
        <v>2</v>
      </c>
      <c r="G221" s="93">
        <f t="shared" si="20"/>
        <v>1036000</v>
      </c>
      <c r="H221" s="96"/>
      <c r="I221" s="96"/>
      <c r="J221" s="96"/>
      <c r="K221" s="96"/>
      <c r="L221" s="96"/>
      <c r="M221" s="96"/>
    </row>
    <row r="222" spans="1:13" s="97" customFormat="1" x14ac:dyDescent="0.25">
      <c r="A222" s="91"/>
      <c r="B222" s="61"/>
      <c r="C222" s="92" t="s">
        <v>188</v>
      </c>
      <c r="D222" s="92">
        <v>7000</v>
      </c>
      <c r="E222" s="92">
        <f>248/6</f>
        <v>41.333333333333336</v>
      </c>
      <c r="F222" s="92">
        <v>2</v>
      </c>
      <c r="G222" s="93">
        <f t="shared" si="20"/>
        <v>578666.66666666674</v>
      </c>
      <c r="H222" s="96"/>
      <c r="I222" s="96"/>
      <c r="J222" s="96"/>
      <c r="K222" s="96"/>
      <c r="L222" s="96"/>
      <c r="M222" s="96"/>
    </row>
    <row r="223" spans="1:13" s="97" customFormat="1" x14ac:dyDescent="0.25">
      <c r="A223" s="91"/>
      <c r="B223" s="61"/>
      <c r="C223" s="92" t="s">
        <v>189</v>
      </c>
      <c r="D223" s="92">
        <v>7000</v>
      </c>
      <c r="E223" s="92">
        <f>310/6</f>
        <v>51.666666666666664</v>
      </c>
      <c r="F223" s="92">
        <v>2</v>
      </c>
      <c r="G223" s="93">
        <f t="shared" si="20"/>
        <v>723333.33333333326</v>
      </c>
      <c r="H223" s="96"/>
      <c r="I223" s="96"/>
      <c r="J223" s="96"/>
      <c r="K223" s="96"/>
      <c r="L223" s="96"/>
      <c r="M223" s="96"/>
    </row>
    <row r="224" spans="1:13" s="97" customFormat="1" x14ac:dyDescent="0.25">
      <c r="A224" s="91"/>
      <c r="B224" s="61"/>
      <c r="C224" s="92" t="s">
        <v>190</v>
      </c>
      <c r="D224" s="92">
        <v>7000</v>
      </c>
      <c r="E224" s="92">
        <f>528/6</f>
        <v>88</v>
      </c>
      <c r="F224" s="92">
        <v>2</v>
      </c>
      <c r="G224" s="93">
        <f t="shared" si="20"/>
        <v>1232000</v>
      </c>
      <c r="H224" s="96"/>
      <c r="I224" s="96"/>
      <c r="J224" s="96"/>
      <c r="K224" s="96"/>
      <c r="L224" s="96"/>
      <c r="M224" s="96"/>
    </row>
    <row r="225" spans="1:13" s="97" customFormat="1" x14ac:dyDescent="0.25">
      <c r="A225" s="91"/>
      <c r="B225" s="61"/>
      <c r="C225" s="92" t="s">
        <v>191</v>
      </c>
      <c r="D225" s="92">
        <v>7000</v>
      </c>
      <c r="E225" s="92">
        <f>342/6</f>
        <v>57</v>
      </c>
      <c r="F225" s="92">
        <v>2</v>
      </c>
      <c r="G225" s="93">
        <f t="shared" si="20"/>
        <v>798000</v>
      </c>
      <c r="H225" s="96"/>
      <c r="I225" s="96"/>
      <c r="J225" s="96"/>
      <c r="K225" s="96"/>
      <c r="L225" s="96"/>
      <c r="M225" s="96"/>
    </row>
    <row r="226" spans="1:13" s="97" customFormat="1" x14ac:dyDescent="0.25">
      <c r="A226" s="91"/>
      <c r="B226" s="61"/>
      <c r="C226" s="92" t="s">
        <v>192</v>
      </c>
      <c r="D226" s="92">
        <v>7000</v>
      </c>
      <c r="E226" s="92">
        <f>283/7</f>
        <v>40.428571428571431</v>
      </c>
      <c r="F226" s="92">
        <v>2</v>
      </c>
      <c r="G226" s="93">
        <f t="shared" si="20"/>
        <v>566000</v>
      </c>
      <c r="H226" s="96"/>
      <c r="I226" s="96"/>
      <c r="J226" s="96"/>
      <c r="K226" s="96"/>
      <c r="L226" s="96"/>
      <c r="M226" s="96"/>
    </row>
    <row r="227" spans="1:13" s="97" customFormat="1" x14ac:dyDescent="0.25">
      <c r="A227" s="91"/>
      <c r="B227" s="61"/>
      <c r="C227" s="92" t="s">
        <v>193</v>
      </c>
      <c r="D227" s="92">
        <v>7000</v>
      </c>
      <c r="E227" s="92">
        <f>474/7</f>
        <v>67.714285714285708</v>
      </c>
      <c r="F227" s="92">
        <v>2</v>
      </c>
      <c r="G227" s="93">
        <f t="shared" si="20"/>
        <v>947999.99999999988</v>
      </c>
      <c r="H227" s="96"/>
      <c r="I227" s="96"/>
      <c r="J227" s="96"/>
      <c r="K227" s="96"/>
      <c r="L227" s="96"/>
      <c r="M227" s="96"/>
    </row>
    <row r="228" spans="1:13" s="97" customFormat="1" x14ac:dyDescent="0.25">
      <c r="A228" s="91"/>
      <c r="B228" s="61"/>
      <c r="C228" s="92" t="s">
        <v>194</v>
      </c>
      <c r="D228" s="92">
        <v>7000</v>
      </c>
      <c r="E228" s="92">
        <f>608/7</f>
        <v>86.857142857142861</v>
      </c>
      <c r="F228" s="92">
        <v>2</v>
      </c>
      <c r="G228" s="93">
        <f t="shared" si="20"/>
        <v>1216000</v>
      </c>
      <c r="H228" s="96"/>
      <c r="I228" s="96"/>
      <c r="J228" s="96"/>
      <c r="K228" s="96"/>
      <c r="L228" s="96"/>
      <c r="M228" s="96"/>
    </row>
    <row r="229" spans="1:13" s="132" customFormat="1" x14ac:dyDescent="0.25">
      <c r="A229" s="91"/>
      <c r="B229" s="61"/>
      <c r="C229" s="92" t="s">
        <v>195</v>
      </c>
      <c r="D229" s="92">
        <v>7000</v>
      </c>
      <c r="E229" s="92">
        <f>137/6</f>
        <v>22.833333333333332</v>
      </c>
      <c r="F229" s="92">
        <v>4</v>
      </c>
      <c r="G229" s="93">
        <f t="shared" si="20"/>
        <v>639333.33333333326</v>
      </c>
      <c r="H229" s="131"/>
      <c r="I229" s="131"/>
      <c r="J229" s="131"/>
      <c r="K229" s="131"/>
      <c r="L229" s="131"/>
      <c r="M229" s="131"/>
    </row>
    <row r="230" spans="1:13" s="132" customFormat="1" x14ac:dyDescent="0.25">
      <c r="A230" s="91"/>
      <c r="B230" s="61"/>
      <c r="C230" s="92"/>
      <c r="D230" s="92"/>
      <c r="E230" s="92"/>
      <c r="F230" s="92"/>
      <c r="G230" s="93"/>
      <c r="H230" s="131"/>
      <c r="I230" s="131"/>
      <c r="J230" s="131"/>
      <c r="K230" s="131"/>
      <c r="L230" s="131"/>
      <c r="M230" s="131"/>
    </row>
    <row r="231" spans="1:13" s="97" customFormat="1" x14ac:dyDescent="0.25">
      <c r="A231" s="91"/>
      <c r="B231" s="61"/>
      <c r="C231" s="128" t="s">
        <v>196</v>
      </c>
      <c r="D231" s="92">
        <f>7000</f>
        <v>7000</v>
      </c>
      <c r="E231" s="92">
        <v>180</v>
      </c>
      <c r="F231" s="92">
        <v>2</v>
      </c>
      <c r="G231" s="93">
        <f>D231*E231*F231</f>
        <v>2520000</v>
      </c>
      <c r="H231" s="96"/>
      <c r="I231" s="96"/>
      <c r="J231" s="96"/>
      <c r="K231" s="96"/>
      <c r="L231" s="96"/>
      <c r="M231" s="96"/>
    </row>
    <row r="232" spans="1:13" s="97" customFormat="1" x14ac:dyDescent="0.25">
      <c r="A232" s="91"/>
      <c r="B232" s="61"/>
      <c r="C232" s="128" t="s">
        <v>197</v>
      </c>
      <c r="D232" s="92">
        <f>7000</f>
        <v>7000</v>
      </c>
      <c r="E232" s="92">
        <v>20</v>
      </c>
      <c r="F232" s="92">
        <v>2</v>
      </c>
      <c r="G232" s="93">
        <f>D232*E232*F232</f>
        <v>280000</v>
      </c>
      <c r="H232" s="96"/>
      <c r="I232" s="96"/>
      <c r="J232" s="96"/>
      <c r="K232" s="96"/>
      <c r="L232" s="96"/>
      <c r="M232" s="96"/>
    </row>
    <row r="233" spans="1:13" s="97" customFormat="1" x14ac:dyDescent="0.25">
      <c r="A233" s="91"/>
      <c r="B233" s="61"/>
      <c r="C233" s="128" t="s">
        <v>198</v>
      </c>
      <c r="D233" s="92">
        <v>1000000</v>
      </c>
      <c r="E233" s="92">
        <v>1</v>
      </c>
      <c r="F233" s="92">
        <v>3</v>
      </c>
      <c r="G233" s="93">
        <f t="shared" ref="G233" si="21">D233*E233*F233</f>
        <v>3000000</v>
      </c>
      <c r="H233" s="96"/>
      <c r="I233" s="96"/>
      <c r="J233" s="96"/>
      <c r="K233" s="96"/>
      <c r="L233" s="96"/>
      <c r="M233" s="96"/>
    </row>
    <row r="234" spans="1:13" s="97" customFormat="1" x14ac:dyDescent="0.25">
      <c r="A234" s="91"/>
      <c r="B234" s="61"/>
      <c r="C234" s="120" t="s">
        <v>97</v>
      </c>
      <c r="D234" s="92">
        <v>20000</v>
      </c>
      <c r="E234" s="92">
        <v>64</v>
      </c>
      <c r="F234" s="92">
        <v>3</v>
      </c>
      <c r="G234" s="93">
        <f>D234*E234*F234</f>
        <v>3840000</v>
      </c>
      <c r="H234" s="96"/>
      <c r="I234" s="96"/>
      <c r="J234" s="96"/>
      <c r="K234" s="96"/>
      <c r="L234" s="96"/>
      <c r="M234" s="96"/>
    </row>
    <row r="235" spans="1:13" s="97" customFormat="1" x14ac:dyDescent="0.25">
      <c r="A235" s="91"/>
      <c r="B235" s="61"/>
      <c r="C235" s="92" t="s">
        <v>60</v>
      </c>
      <c r="D235" s="92">
        <v>20000</v>
      </c>
      <c r="E235" s="92">
        <v>64</v>
      </c>
      <c r="F235" s="92">
        <v>1</v>
      </c>
      <c r="G235" s="93">
        <f t="shared" ref="G235:G238" si="22">D235*E235*F235</f>
        <v>1280000</v>
      </c>
      <c r="H235" s="96"/>
      <c r="I235" s="96"/>
      <c r="J235" s="96"/>
      <c r="K235" s="96"/>
      <c r="L235" s="96"/>
      <c r="M235" s="96"/>
    </row>
    <row r="236" spans="1:13" s="97" customFormat="1" x14ac:dyDescent="0.25">
      <c r="A236" s="91"/>
      <c r="B236" s="61"/>
      <c r="C236" s="92" t="s">
        <v>199</v>
      </c>
      <c r="D236" s="133">
        <v>3437.5</v>
      </c>
      <c r="E236" s="92">
        <v>64</v>
      </c>
      <c r="F236" s="92">
        <v>1</v>
      </c>
      <c r="G236" s="93">
        <f t="shared" si="22"/>
        <v>220000</v>
      </c>
      <c r="H236" s="96"/>
      <c r="I236" s="96"/>
      <c r="J236" s="96"/>
      <c r="K236" s="96"/>
      <c r="L236" s="96"/>
      <c r="M236" s="96"/>
    </row>
    <row r="237" spans="1:13" s="97" customFormat="1" x14ac:dyDescent="0.25">
      <c r="A237" s="91"/>
      <c r="B237" s="61"/>
      <c r="C237" s="92" t="s">
        <v>138</v>
      </c>
      <c r="D237" s="92">
        <v>50000</v>
      </c>
      <c r="E237" s="92">
        <v>51</v>
      </c>
      <c r="F237" s="92">
        <v>1</v>
      </c>
      <c r="G237" s="93">
        <f t="shared" si="22"/>
        <v>2550000</v>
      </c>
      <c r="H237" s="96"/>
      <c r="I237" s="96"/>
      <c r="J237" s="96"/>
      <c r="K237" s="96"/>
      <c r="L237" s="96"/>
      <c r="M237" s="96"/>
    </row>
    <row r="238" spans="1:13" s="97" customFormat="1" x14ac:dyDescent="0.25">
      <c r="A238" s="91"/>
      <c r="B238" s="61"/>
      <c r="C238" s="92" t="s">
        <v>200</v>
      </c>
      <c r="D238" s="92">
        <v>40000</v>
      </c>
      <c r="E238" s="92">
        <v>7</v>
      </c>
      <c r="F238" s="92">
        <v>3</v>
      </c>
      <c r="G238" s="93">
        <f t="shared" si="22"/>
        <v>840000</v>
      </c>
      <c r="H238" s="96"/>
      <c r="I238" s="96"/>
      <c r="J238" s="96"/>
      <c r="K238" s="96"/>
      <c r="L238" s="96"/>
      <c r="M238" s="96"/>
    </row>
    <row r="239" spans="1:13" s="97" customFormat="1" ht="12" thickBot="1" x14ac:dyDescent="0.3">
      <c r="A239" s="91"/>
      <c r="B239" s="120"/>
      <c r="C239" s="92"/>
      <c r="D239" s="92"/>
      <c r="E239" s="92"/>
      <c r="F239" s="92"/>
      <c r="G239" s="93"/>
      <c r="H239" s="96"/>
      <c r="I239" s="96"/>
      <c r="J239" s="96"/>
      <c r="K239" s="96"/>
      <c r="L239" s="96"/>
      <c r="M239" s="96"/>
    </row>
    <row r="240" spans="1:13" s="97" customFormat="1" ht="12" thickBot="1" x14ac:dyDescent="0.3">
      <c r="A240" s="91"/>
      <c r="B240" s="120"/>
      <c r="C240" s="92" t="s">
        <v>140</v>
      </c>
      <c r="D240" s="92"/>
      <c r="E240" s="92"/>
      <c r="F240" s="92"/>
      <c r="G240" s="126">
        <f>SUM(G186:G239)</f>
        <v>126995666.66666666</v>
      </c>
      <c r="H240" s="127">
        <f>G240/8136</f>
        <v>15609.103572599146</v>
      </c>
      <c r="I240" s="96"/>
      <c r="J240" s="96"/>
      <c r="K240" s="96"/>
      <c r="L240" s="96"/>
      <c r="M240" s="96"/>
    </row>
    <row r="241" spans="1:13" s="97" customFormat="1" ht="12" thickBot="1" x14ac:dyDescent="0.3">
      <c r="A241" s="91"/>
      <c r="B241" s="134"/>
      <c r="C241" s="92"/>
      <c r="D241" s="92"/>
      <c r="E241" s="92"/>
      <c r="F241" s="92"/>
      <c r="G241" s="118"/>
      <c r="H241" s="96"/>
      <c r="I241" s="96"/>
      <c r="J241" s="96"/>
      <c r="K241" s="96"/>
      <c r="L241" s="96"/>
      <c r="M241" s="96"/>
    </row>
    <row r="242" spans="1:13" s="97" customFormat="1" x14ac:dyDescent="0.25">
      <c r="A242" s="125">
        <v>1.4</v>
      </c>
      <c r="B242" s="129" t="s">
        <v>201</v>
      </c>
      <c r="C242" s="117" t="s">
        <v>39</v>
      </c>
      <c r="D242" s="117">
        <v>150000</v>
      </c>
      <c r="E242" s="117">
        <v>1</v>
      </c>
      <c r="F242" s="117">
        <v>1</v>
      </c>
      <c r="G242" s="118">
        <f t="shared" ref="G242" si="23">D242*E242*F242</f>
        <v>150000</v>
      </c>
      <c r="H242" s="96"/>
      <c r="I242" s="96"/>
      <c r="J242" s="96"/>
      <c r="K242" s="96"/>
      <c r="L242" s="96"/>
      <c r="M242" s="96"/>
    </row>
    <row r="243" spans="1:13" s="97" customFormat="1" x14ac:dyDescent="0.25">
      <c r="A243" s="91"/>
      <c r="B243" s="61" t="s">
        <v>154</v>
      </c>
      <c r="C243" s="92" t="s">
        <v>155</v>
      </c>
      <c r="D243" s="92">
        <v>170000</v>
      </c>
      <c r="E243" s="92">
        <v>1</v>
      </c>
      <c r="F243" s="92">
        <v>3</v>
      </c>
      <c r="G243" s="93">
        <f>D243*E243*F243</f>
        <v>510000</v>
      </c>
      <c r="H243" s="96"/>
      <c r="I243" s="96"/>
      <c r="J243" s="96"/>
      <c r="K243" s="96"/>
      <c r="L243" s="96"/>
      <c r="M243" s="96"/>
    </row>
    <row r="244" spans="1:13" s="97" customFormat="1" ht="22.5" x14ac:dyDescent="0.25">
      <c r="A244" s="91"/>
      <c r="B244" s="61" t="s">
        <v>202</v>
      </c>
      <c r="C244" s="92" t="s">
        <v>157</v>
      </c>
      <c r="D244" s="92">
        <v>100000</v>
      </c>
      <c r="E244" s="92">
        <v>1</v>
      </c>
      <c r="F244" s="92">
        <v>4</v>
      </c>
      <c r="G244" s="93">
        <f t="shared" ref="G244" si="24">D244*E244*F244</f>
        <v>400000</v>
      </c>
      <c r="H244" s="96"/>
      <c r="I244" s="96"/>
      <c r="J244" s="96"/>
      <c r="K244" s="96"/>
      <c r="L244" s="96"/>
      <c r="M244" s="96"/>
    </row>
    <row r="245" spans="1:13" s="97" customFormat="1" x14ac:dyDescent="0.25">
      <c r="A245" s="91"/>
      <c r="B245" s="61" t="s">
        <v>158</v>
      </c>
      <c r="C245" s="92" t="s">
        <v>159</v>
      </c>
      <c r="D245" s="92">
        <v>150000</v>
      </c>
      <c r="E245" s="92">
        <v>1</v>
      </c>
      <c r="F245" s="92">
        <v>3</v>
      </c>
      <c r="G245" s="93">
        <f>D245*E245*F245</f>
        <v>450000</v>
      </c>
      <c r="H245" s="96"/>
      <c r="I245" s="96"/>
      <c r="J245" s="96"/>
      <c r="K245" s="96"/>
      <c r="L245" s="96"/>
      <c r="M245" s="96"/>
    </row>
    <row r="246" spans="1:13" s="97" customFormat="1" x14ac:dyDescent="0.25">
      <c r="A246" s="91"/>
      <c r="B246" s="130"/>
      <c r="C246" s="92" t="s">
        <v>160</v>
      </c>
      <c r="D246" s="92">
        <v>100000</v>
      </c>
      <c r="E246" s="92">
        <f>E245</f>
        <v>1</v>
      </c>
      <c r="F246" s="92">
        <v>4</v>
      </c>
      <c r="G246" s="93">
        <f t="shared" ref="G246:G250" si="25">D246*E246*F246</f>
        <v>400000</v>
      </c>
      <c r="H246" s="96"/>
      <c r="I246" s="96"/>
      <c r="J246" s="96"/>
      <c r="K246" s="96"/>
      <c r="L246" s="96"/>
      <c r="M246" s="96"/>
    </row>
    <row r="247" spans="1:13" s="97" customFormat="1" ht="33.75" x14ac:dyDescent="0.25">
      <c r="A247" s="91"/>
      <c r="B247" s="130"/>
      <c r="C247" s="120" t="s">
        <v>203</v>
      </c>
      <c r="D247" s="92">
        <v>150000</v>
      </c>
      <c r="E247" s="92">
        <v>5</v>
      </c>
      <c r="F247" s="92">
        <v>3</v>
      </c>
      <c r="G247" s="93">
        <f t="shared" si="25"/>
        <v>2250000</v>
      </c>
      <c r="H247" s="96"/>
      <c r="I247" s="96"/>
      <c r="J247" s="96"/>
      <c r="K247" s="96"/>
      <c r="L247" s="96"/>
      <c r="M247" s="96"/>
    </row>
    <row r="248" spans="1:13" s="97" customFormat="1" ht="33.75" x14ac:dyDescent="0.25">
      <c r="A248" s="91"/>
      <c r="C248" s="120" t="s">
        <v>204</v>
      </c>
      <c r="D248" s="92">
        <v>100000</v>
      </c>
      <c r="E248" s="92">
        <f>E247</f>
        <v>5</v>
      </c>
      <c r="F248" s="92">
        <v>4</v>
      </c>
      <c r="G248" s="93">
        <f t="shared" si="25"/>
        <v>2000000</v>
      </c>
      <c r="H248" s="96"/>
      <c r="I248" s="96"/>
      <c r="J248" s="96"/>
      <c r="K248" s="96"/>
      <c r="L248" s="96"/>
      <c r="M248" s="96"/>
    </row>
    <row r="249" spans="1:13" s="97" customFormat="1" x14ac:dyDescent="0.25">
      <c r="A249" s="91"/>
      <c r="C249" s="92" t="s">
        <v>163</v>
      </c>
      <c r="D249" s="92">
        <v>150000</v>
      </c>
      <c r="E249" s="92">
        <v>2</v>
      </c>
      <c r="F249" s="92">
        <v>3</v>
      </c>
      <c r="G249" s="93">
        <f t="shared" si="25"/>
        <v>900000</v>
      </c>
      <c r="H249" s="96"/>
      <c r="I249" s="96"/>
      <c r="J249" s="96"/>
      <c r="K249" s="96"/>
      <c r="L249" s="96"/>
      <c r="M249" s="96"/>
    </row>
    <row r="250" spans="1:13" s="97" customFormat="1" x14ac:dyDescent="0.25">
      <c r="A250" s="91"/>
      <c r="C250" s="92" t="s">
        <v>164</v>
      </c>
      <c r="D250" s="92">
        <v>100000</v>
      </c>
      <c r="E250" s="92">
        <v>2</v>
      </c>
      <c r="F250" s="92">
        <v>4</v>
      </c>
      <c r="G250" s="93">
        <f t="shared" si="25"/>
        <v>800000</v>
      </c>
      <c r="H250" s="96"/>
      <c r="I250" s="96"/>
      <c r="J250" s="96"/>
      <c r="K250" s="96"/>
      <c r="L250" s="96"/>
      <c r="M250" s="96"/>
    </row>
    <row r="251" spans="1:13" s="97" customFormat="1" x14ac:dyDescent="0.25">
      <c r="A251" s="91"/>
      <c r="C251" s="92"/>
      <c r="D251" s="92"/>
      <c r="E251" s="92"/>
      <c r="F251" s="92"/>
      <c r="G251" s="93"/>
      <c r="H251" s="96"/>
      <c r="I251" s="96"/>
      <c r="J251" s="96"/>
      <c r="K251" s="96"/>
      <c r="L251" s="96"/>
      <c r="M251" s="96"/>
    </row>
    <row r="252" spans="1:13" s="97" customFormat="1" x14ac:dyDescent="0.25">
      <c r="A252" s="91"/>
      <c r="C252" s="92" t="s">
        <v>165</v>
      </c>
      <c r="D252" s="92">
        <v>150000</v>
      </c>
      <c r="E252" s="92">
        <v>5</v>
      </c>
      <c r="F252" s="92">
        <v>3</v>
      </c>
      <c r="G252" s="93">
        <f>D252*E252*F252</f>
        <v>2250000</v>
      </c>
      <c r="H252" s="96"/>
      <c r="I252" s="96"/>
      <c r="J252" s="96"/>
      <c r="K252" s="96"/>
      <c r="L252" s="96"/>
      <c r="M252" s="96"/>
    </row>
    <row r="253" spans="1:13" s="97" customFormat="1" x14ac:dyDescent="0.25">
      <c r="A253" s="91"/>
      <c r="C253" s="92" t="s">
        <v>166</v>
      </c>
      <c r="D253" s="92">
        <v>100000</v>
      </c>
      <c r="E253" s="92">
        <f>E252</f>
        <v>5</v>
      </c>
      <c r="F253" s="92">
        <v>4</v>
      </c>
      <c r="G253" s="93">
        <f>D253*E253*F253</f>
        <v>2000000</v>
      </c>
      <c r="H253" s="96"/>
      <c r="I253" s="96"/>
      <c r="J253" s="96"/>
      <c r="K253" s="96"/>
      <c r="L253" s="96"/>
      <c r="M253" s="96"/>
    </row>
    <row r="254" spans="1:13" s="97" customFormat="1" x14ac:dyDescent="0.25">
      <c r="A254" s="91"/>
      <c r="C254" s="92" t="s">
        <v>167</v>
      </c>
      <c r="D254" s="92">
        <v>150000</v>
      </c>
      <c r="E254" s="92">
        <v>1</v>
      </c>
      <c r="F254" s="92">
        <v>3</v>
      </c>
      <c r="G254" s="93">
        <f>D254*E254*F254</f>
        <v>450000</v>
      </c>
      <c r="H254" s="96"/>
      <c r="I254" s="96"/>
      <c r="J254" s="96"/>
      <c r="K254" s="96"/>
      <c r="L254" s="96"/>
      <c r="M254" s="96"/>
    </row>
    <row r="255" spans="1:13" s="97" customFormat="1" x14ac:dyDescent="0.25">
      <c r="A255" s="91"/>
      <c r="C255" s="92" t="s">
        <v>205</v>
      </c>
      <c r="D255" s="92">
        <v>100000</v>
      </c>
      <c r="E255" s="92">
        <f>E254</f>
        <v>1</v>
      </c>
      <c r="F255" s="92">
        <v>4</v>
      </c>
      <c r="G255" s="93">
        <f>D255*E255*F255</f>
        <v>400000</v>
      </c>
      <c r="H255" s="96"/>
      <c r="I255" s="96"/>
      <c r="J255" s="96"/>
      <c r="K255" s="96"/>
      <c r="L255" s="96"/>
      <c r="M255" s="96"/>
    </row>
    <row r="256" spans="1:13" s="97" customFormat="1" x14ac:dyDescent="0.25">
      <c r="A256" s="91"/>
      <c r="C256" s="92"/>
      <c r="D256" s="92"/>
      <c r="E256" s="92"/>
      <c r="F256" s="92"/>
      <c r="G256" s="93"/>
      <c r="H256" s="96"/>
      <c r="I256" s="96"/>
      <c r="J256" s="96"/>
      <c r="K256" s="96"/>
      <c r="L256" s="96"/>
      <c r="M256" s="96"/>
    </row>
    <row r="257" spans="1:13" s="97" customFormat="1" x14ac:dyDescent="0.25">
      <c r="A257" s="91"/>
      <c r="C257" s="92" t="s">
        <v>169</v>
      </c>
      <c r="D257" s="92">
        <v>150000</v>
      </c>
      <c r="E257" s="92">
        <v>6</v>
      </c>
      <c r="F257" s="92">
        <v>5</v>
      </c>
      <c r="G257" s="93">
        <f t="shared" ref="G257:G260" si="26">D257*E257*F257</f>
        <v>4500000</v>
      </c>
      <c r="H257" s="96"/>
      <c r="I257" s="96"/>
      <c r="J257" s="96"/>
      <c r="K257" s="96"/>
      <c r="L257" s="96"/>
      <c r="M257" s="96"/>
    </row>
    <row r="258" spans="1:13" s="97" customFormat="1" x14ac:dyDescent="0.25">
      <c r="A258" s="91"/>
      <c r="C258" s="92" t="s">
        <v>170</v>
      </c>
      <c r="D258" s="92">
        <v>100000</v>
      </c>
      <c r="E258" s="92">
        <v>6</v>
      </c>
      <c r="F258" s="92">
        <v>6</v>
      </c>
      <c r="G258" s="93">
        <f t="shared" si="26"/>
        <v>3600000</v>
      </c>
      <c r="H258" s="96"/>
      <c r="I258" s="96"/>
      <c r="J258" s="96"/>
      <c r="K258" s="96"/>
      <c r="L258" s="96"/>
      <c r="M258" s="96"/>
    </row>
    <row r="259" spans="1:13" s="97" customFormat="1" x14ac:dyDescent="0.25">
      <c r="A259" s="91"/>
      <c r="C259" s="92" t="s">
        <v>171</v>
      </c>
      <c r="D259" s="92">
        <f>D257</f>
        <v>150000</v>
      </c>
      <c r="E259" s="92">
        <f>3*1</f>
        <v>3</v>
      </c>
      <c r="F259" s="92">
        <v>5</v>
      </c>
      <c r="G259" s="93">
        <f t="shared" si="26"/>
        <v>2250000</v>
      </c>
      <c r="H259" s="96"/>
      <c r="I259" s="96"/>
      <c r="J259" s="96"/>
      <c r="K259" s="96"/>
      <c r="L259" s="96"/>
      <c r="M259" s="96"/>
    </row>
    <row r="260" spans="1:13" s="97" customFormat="1" x14ac:dyDescent="0.25">
      <c r="A260" s="91"/>
      <c r="C260" s="92" t="s">
        <v>172</v>
      </c>
      <c r="D260" s="92">
        <v>100000</v>
      </c>
      <c r="E260" s="92">
        <f>E259</f>
        <v>3</v>
      </c>
      <c r="F260" s="92">
        <v>6</v>
      </c>
      <c r="G260" s="93">
        <f t="shared" si="26"/>
        <v>1800000</v>
      </c>
      <c r="H260" s="96"/>
      <c r="I260" s="96"/>
      <c r="J260" s="96"/>
      <c r="K260" s="96"/>
      <c r="L260" s="96"/>
      <c r="M260" s="96"/>
    </row>
    <row r="261" spans="1:13" s="97" customFormat="1" x14ac:dyDescent="0.25">
      <c r="A261" s="91"/>
      <c r="C261" s="92"/>
      <c r="D261" s="92"/>
      <c r="E261" s="92"/>
      <c r="F261" s="92"/>
      <c r="G261" s="93"/>
      <c r="H261" s="96"/>
      <c r="I261" s="96"/>
      <c r="J261" s="96"/>
      <c r="K261" s="96"/>
      <c r="L261" s="96"/>
      <c r="M261" s="96"/>
    </row>
    <row r="262" spans="1:13" s="97" customFormat="1" x14ac:dyDescent="0.25">
      <c r="A262" s="91"/>
      <c r="C262" s="92" t="s">
        <v>173</v>
      </c>
      <c r="D262" s="92">
        <v>150000</v>
      </c>
      <c r="E262" s="92">
        <v>26</v>
      </c>
      <c r="F262" s="92">
        <v>4</v>
      </c>
      <c r="G262" s="93">
        <f>D262*E262*F262</f>
        <v>15600000</v>
      </c>
      <c r="H262" s="96"/>
      <c r="I262" s="96"/>
      <c r="J262" s="96"/>
      <c r="K262" s="96"/>
      <c r="L262" s="96"/>
      <c r="M262" s="96"/>
    </row>
    <row r="263" spans="1:13" s="97" customFormat="1" x14ac:dyDescent="0.25">
      <c r="A263" s="91"/>
      <c r="C263" s="92" t="s">
        <v>174</v>
      </c>
      <c r="D263" s="92">
        <v>100000</v>
      </c>
      <c r="E263" s="92">
        <f>E262</f>
        <v>26</v>
      </c>
      <c r="F263" s="92">
        <v>5</v>
      </c>
      <c r="G263" s="93">
        <f t="shared" ref="G263:G265" si="27">D263*E263*F263</f>
        <v>13000000</v>
      </c>
      <c r="H263" s="96"/>
      <c r="I263" s="96"/>
      <c r="J263" s="96"/>
      <c r="K263" s="96"/>
      <c r="L263" s="96"/>
      <c r="M263" s="96"/>
    </row>
    <row r="264" spans="1:13" s="97" customFormat="1" x14ac:dyDescent="0.25">
      <c r="A264" s="91"/>
      <c r="C264" s="92" t="s">
        <v>175</v>
      </c>
      <c r="D264" s="92">
        <v>150000</v>
      </c>
      <c r="E264" s="92">
        <f>13*1</f>
        <v>13</v>
      </c>
      <c r="F264" s="92">
        <v>4</v>
      </c>
      <c r="G264" s="93">
        <f t="shared" si="27"/>
        <v>7800000</v>
      </c>
      <c r="H264" s="96"/>
      <c r="I264" s="96"/>
      <c r="J264" s="96"/>
      <c r="K264" s="96"/>
      <c r="L264" s="96"/>
      <c r="M264" s="96"/>
    </row>
    <row r="265" spans="1:13" s="97" customFormat="1" x14ac:dyDescent="0.25">
      <c r="A265" s="91"/>
      <c r="C265" s="92" t="s">
        <v>176</v>
      </c>
      <c r="D265" s="92">
        <v>100000</v>
      </c>
      <c r="E265" s="92">
        <f>E264</f>
        <v>13</v>
      </c>
      <c r="F265" s="92">
        <v>5</v>
      </c>
      <c r="G265" s="93">
        <f t="shared" si="27"/>
        <v>6500000</v>
      </c>
      <c r="H265" s="96"/>
      <c r="I265" s="96"/>
      <c r="J265" s="96"/>
      <c r="K265" s="96"/>
      <c r="L265" s="96"/>
      <c r="M265" s="96"/>
    </row>
    <row r="266" spans="1:13" s="97" customFormat="1" x14ac:dyDescent="0.25">
      <c r="A266" s="91"/>
      <c r="C266" s="92"/>
      <c r="D266" s="92"/>
      <c r="E266" s="92"/>
      <c r="F266" s="92"/>
      <c r="G266" s="93"/>
      <c r="H266" s="96"/>
      <c r="I266" s="96"/>
      <c r="J266" s="96"/>
      <c r="K266" s="96"/>
      <c r="L266" s="96"/>
      <c r="M266" s="96"/>
    </row>
    <row r="267" spans="1:13" s="132" customFormat="1" x14ac:dyDescent="0.25">
      <c r="A267" s="91"/>
      <c r="B267" s="61"/>
      <c r="C267" s="92" t="s">
        <v>177</v>
      </c>
      <c r="D267" s="92">
        <v>7000</v>
      </c>
      <c r="E267" s="92">
        <f>137/6</f>
        <v>22.833333333333332</v>
      </c>
      <c r="F267" s="92">
        <v>2</v>
      </c>
      <c r="G267" s="93">
        <f t="shared" ref="G267:G285" si="28">D267*E267*F267</f>
        <v>319666.66666666663</v>
      </c>
      <c r="H267" s="131"/>
      <c r="I267" s="131"/>
      <c r="J267" s="131"/>
      <c r="K267" s="131"/>
      <c r="L267" s="131"/>
      <c r="M267" s="131"/>
    </row>
    <row r="268" spans="1:13" s="132" customFormat="1" x14ac:dyDescent="0.25">
      <c r="A268" s="91"/>
      <c r="B268" s="61"/>
      <c r="C268" s="92" t="s">
        <v>178</v>
      </c>
      <c r="D268" s="92">
        <v>7000</v>
      </c>
      <c r="E268" s="92">
        <f>61/6</f>
        <v>10.166666666666666</v>
      </c>
      <c r="F268" s="92">
        <v>2</v>
      </c>
      <c r="G268" s="93">
        <f t="shared" si="28"/>
        <v>142333.33333333331</v>
      </c>
      <c r="H268" s="131"/>
      <c r="I268" s="131"/>
      <c r="J268" s="131"/>
      <c r="K268" s="131"/>
      <c r="L268" s="131"/>
      <c r="M268" s="131"/>
    </row>
    <row r="269" spans="1:13" s="97" customFormat="1" x14ac:dyDescent="0.25">
      <c r="A269" s="91"/>
      <c r="B269" s="61"/>
      <c r="C269" s="92" t="s">
        <v>179</v>
      </c>
      <c r="D269" s="92">
        <v>7000</v>
      </c>
      <c r="E269" s="92">
        <f>757/6</f>
        <v>126.16666666666667</v>
      </c>
      <c r="F269" s="92">
        <v>2</v>
      </c>
      <c r="G269" s="93">
        <f t="shared" si="28"/>
        <v>1766333.3333333335</v>
      </c>
      <c r="H269" s="96"/>
      <c r="I269" s="96"/>
      <c r="J269" s="96"/>
      <c r="K269" s="96"/>
      <c r="L269" s="96"/>
      <c r="M269" s="96"/>
    </row>
    <row r="270" spans="1:13" s="97" customFormat="1" x14ac:dyDescent="0.25">
      <c r="A270" s="91"/>
      <c r="B270" s="61"/>
      <c r="C270" s="92" t="s">
        <v>180</v>
      </c>
      <c r="D270" s="92">
        <v>7000</v>
      </c>
      <c r="E270" s="92">
        <f>680/6</f>
        <v>113.33333333333333</v>
      </c>
      <c r="F270" s="92">
        <v>2</v>
      </c>
      <c r="G270" s="93">
        <f t="shared" si="28"/>
        <v>1586666.6666666665</v>
      </c>
      <c r="H270" s="96"/>
      <c r="I270" s="96"/>
      <c r="J270" s="96"/>
      <c r="K270" s="96"/>
      <c r="L270" s="96"/>
      <c r="M270" s="96"/>
    </row>
    <row r="271" spans="1:13" s="97" customFormat="1" x14ac:dyDescent="0.25">
      <c r="A271" s="91"/>
      <c r="B271" s="61"/>
      <c r="C271" s="92" t="s">
        <v>181</v>
      </c>
      <c r="D271" s="92">
        <v>7000</v>
      </c>
      <c r="E271" s="92">
        <f>568/6</f>
        <v>94.666666666666671</v>
      </c>
      <c r="F271" s="92">
        <v>2</v>
      </c>
      <c r="G271" s="93">
        <f t="shared" si="28"/>
        <v>1325333.3333333335</v>
      </c>
      <c r="H271" s="96"/>
      <c r="I271" s="96"/>
      <c r="J271" s="96"/>
      <c r="K271" s="96"/>
      <c r="L271" s="96"/>
      <c r="M271" s="96"/>
    </row>
    <row r="272" spans="1:13" s="97" customFormat="1" x14ac:dyDescent="0.25">
      <c r="A272" s="91"/>
      <c r="B272" s="61"/>
      <c r="C272" s="92" t="s">
        <v>182</v>
      </c>
      <c r="D272" s="92">
        <v>7000</v>
      </c>
      <c r="E272" s="92">
        <f>768/6</f>
        <v>128</v>
      </c>
      <c r="F272" s="92">
        <v>2</v>
      </c>
      <c r="G272" s="93">
        <f t="shared" si="28"/>
        <v>1792000</v>
      </c>
      <c r="H272" s="96"/>
      <c r="I272" s="96"/>
      <c r="J272" s="96"/>
      <c r="K272" s="96"/>
      <c r="L272" s="96"/>
      <c r="M272" s="96"/>
    </row>
    <row r="273" spans="1:13" s="97" customFormat="1" x14ac:dyDescent="0.25">
      <c r="A273" s="91"/>
      <c r="B273" s="61"/>
      <c r="C273" s="92" t="s">
        <v>183</v>
      </c>
      <c r="D273" s="92">
        <v>7000</v>
      </c>
      <c r="E273" s="92">
        <f>1024/7</f>
        <v>146.28571428571428</v>
      </c>
      <c r="F273" s="92">
        <v>2</v>
      </c>
      <c r="G273" s="93">
        <f t="shared" si="28"/>
        <v>2048000</v>
      </c>
      <c r="H273" s="96"/>
      <c r="I273" s="96"/>
      <c r="J273" s="96"/>
      <c r="K273" s="96"/>
      <c r="L273" s="96"/>
      <c r="M273" s="96"/>
    </row>
    <row r="274" spans="1:13" s="97" customFormat="1" x14ac:dyDescent="0.25">
      <c r="A274" s="91"/>
      <c r="B274" s="61"/>
      <c r="C274" s="92" t="s">
        <v>184</v>
      </c>
      <c r="D274" s="92">
        <v>7000</v>
      </c>
      <c r="E274" s="92">
        <f>812/7</f>
        <v>116</v>
      </c>
      <c r="F274" s="92">
        <v>2</v>
      </c>
      <c r="G274" s="93">
        <f t="shared" si="28"/>
        <v>1624000</v>
      </c>
      <c r="H274" s="96"/>
      <c r="I274" s="96"/>
      <c r="J274" s="96"/>
      <c r="K274" s="96"/>
      <c r="L274" s="96"/>
      <c r="M274" s="96"/>
    </row>
    <row r="275" spans="1:13" s="97" customFormat="1" x14ac:dyDescent="0.25">
      <c r="A275" s="91"/>
      <c r="B275" s="61"/>
      <c r="C275" s="92" t="s">
        <v>185</v>
      </c>
      <c r="D275" s="92">
        <v>7000</v>
      </c>
      <c r="E275" s="92">
        <f>817/7</f>
        <v>116.71428571428571</v>
      </c>
      <c r="F275" s="92">
        <v>2</v>
      </c>
      <c r="G275" s="93">
        <f t="shared" si="28"/>
        <v>1634000</v>
      </c>
      <c r="H275" s="96"/>
      <c r="I275" s="96"/>
      <c r="J275" s="96"/>
      <c r="K275" s="96"/>
      <c r="L275" s="96"/>
      <c r="M275" s="96"/>
    </row>
    <row r="276" spans="1:13" s="97" customFormat="1" x14ac:dyDescent="0.25">
      <c r="A276" s="91"/>
      <c r="B276" s="61"/>
      <c r="C276" s="92" t="s">
        <v>186</v>
      </c>
      <c r="D276" s="92">
        <v>7000</v>
      </c>
      <c r="E276" s="92">
        <f>940/7</f>
        <v>134.28571428571428</v>
      </c>
      <c r="F276" s="92">
        <v>2</v>
      </c>
      <c r="G276" s="93">
        <f t="shared" si="28"/>
        <v>1880000</v>
      </c>
      <c r="H276" s="96"/>
      <c r="I276" s="96"/>
      <c r="J276" s="96"/>
      <c r="K276" s="96"/>
      <c r="L276" s="96"/>
      <c r="M276" s="96"/>
    </row>
    <row r="277" spans="1:13" s="97" customFormat="1" x14ac:dyDescent="0.25">
      <c r="A277" s="91"/>
      <c r="B277" s="61"/>
      <c r="C277" s="92" t="s">
        <v>187</v>
      </c>
      <c r="D277" s="92">
        <v>7000</v>
      </c>
      <c r="E277" s="92">
        <f>444/6</f>
        <v>74</v>
      </c>
      <c r="F277" s="92">
        <v>2</v>
      </c>
      <c r="G277" s="93">
        <f t="shared" si="28"/>
        <v>1036000</v>
      </c>
      <c r="H277" s="96"/>
      <c r="I277" s="96"/>
      <c r="J277" s="96"/>
      <c r="K277" s="96"/>
      <c r="L277" s="96"/>
      <c r="M277" s="96"/>
    </row>
    <row r="278" spans="1:13" s="97" customFormat="1" x14ac:dyDescent="0.25">
      <c r="A278" s="91"/>
      <c r="B278" s="61"/>
      <c r="C278" s="92" t="s">
        <v>188</v>
      </c>
      <c r="D278" s="92">
        <v>7000</v>
      </c>
      <c r="E278" s="92">
        <f>248/6</f>
        <v>41.333333333333336</v>
      </c>
      <c r="F278" s="92">
        <v>2</v>
      </c>
      <c r="G278" s="93">
        <f t="shared" si="28"/>
        <v>578666.66666666674</v>
      </c>
      <c r="H278" s="96"/>
      <c r="I278" s="96"/>
      <c r="J278" s="96"/>
      <c r="K278" s="96"/>
      <c r="L278" s="96"/>
      <c r="M278" s="96"/>
    </row>
    <row r="279" spans="1:13" s="97" customFormat="1" x14ac:dyDescent="0.25">
      <c r="A279" s="91"/>
      <c r="B279" s="61"/>
      <c r="C279" s="92" t="s">
        <v>189</v>
      </c>
      <c r="D279" s="92">
        <v>7000</v>
      </c>
      <c r="E279" s="92">
        <f>310/6</f>
        <v>51.666666666666664</v>
      </c>
      <c r="F279" s="92">
        <v>2</v>
      </c>
      <c r="G279" s="93">
        <f t="shared" si="28"/>
        <v>723333.33333333326</v>
      </c>
      <c r="H279" s="96"/>
      <c r="I279" s="96"/>
      <c r="J279" s="96"/>
      <c r="K279" s="96"/>
      <c r="L279" s="96"/>
      <c r="M279" s="96"/>
    </row>
    <row r="280" spans="1:13" s="97" customFormat="1" x14ac:dyDescent="0.25">
      <c r="A280" s="91"/>
      <c r="B280" s="61"/>
      <c r="C280" s="92" t="s">
        <v>190</v>
      </c>
      <c r="D280" s="92">
        <v>7000</v>
      </c>
      <c r="E280" s="92">
        <f>528/6</f>
        <v>88</v>
      </c>
      <c r="F280" s="92">
        <v>2</v>
      </c>
      <c r="G280" s="93">
        <f t="shared" si="28"/>
        <v>1232000</v>
      </c>
      <c r="H280" s="96"/>
      <c r="I280" s="96"/>
      <c r="J280" s="96"/>
      <c r="K280" s="96"/>
      <c r="L280" s="96"/>
      <c r="M280" s="96"/>
    </row>
    <row r="281" spans="1:13" s="97" customFormat="1" x14ac:dyDescent="0.25">
      <c r="A281" s="91"/>
      <c r="B281" s="61"/>
      <c r="C281" s="92" t="s">
        <v>191</v>
      </c>
      <c r="D281" s="92">
        <v>7000</v>
      </c>
      <c r="E281" s="92">
        <f>342/6</f>
        <v>57</v>
      </c>
      <c r="F281" s="92">
        <v>2</v>
      </c>
      <c r="G281" s="93">
        <f t="shared" si="28"/>
        <v>798000</v>
      </c>
      <c r="H281" s="96"/>
      <c r="I281" s="96"/>
      <c r="J281" s="96"/>
      <c r="K281" s="96"/>
      <c r="L281" s="96"/>
      <c r="M281" s="96"/>
    </row>
    <row r="282" spans="1:13" s="97" customFormat="1" x14ac:dyDescent="0.25">
      <c r="A282" s="91"/>
      <c r="B282" s="61"/>
      <c r="C282" s="92" t="s">
        <v>192</v>
      </c>
      <c r="D282" s="92">
        <v>7000</v>
      </c>
      <c r="E282" s="92">
        <f>283/7</f>
        <v>40.428571428571431</v>
      </c>
      <c r="F282" s="92">
        <v>2</v>
      </c>
      <c r="G282" s="93">
        <f t="shared" si="28"/>
        <v>566000</v>
      </c>
      <c r="H282" s="96"/>
      <c r="I282" s="96"/>
      <c r="J282" s="96"/>
      <c r="K282" s="96"/>
      <c r="L282" s="96"/>
      <c r="M282" s="96"/>
    </row>
    <row r="283" spans="1:13" s="97" customFormat="1" x14ac:dyDescent="0.25">
      <c r="A283" s="91"/>
      <c r="B283" s="61"/>
      <c r="C283" s="92" t="s">
        <v>193</v>
      </c>
      <c r="D283" s="92">
        <v>7000</v>
      </c>
      <c r="E283" s="92">
        <f>474/7</f>
        <v>67.714285714285708</v>
      </c>
      <c r="F283" s="92">
        <v>2</v>
      </c>
      <c r="G283" s="93">
        <f t="shared" si="28"/>
        <v>947999.99999999988</v>
      </c>
      <c r="H283" s="96"/>
      <c r="I283" s="96"/>
      <c r="J283" s="96"/>
      <c r="K283" s="96"/>
      <c r="L283" s="96"/>
      <c r="M283" s="96"/>
    </row>
    <row r="284" spans="1:13" s="97" customFormat="1" x14ac:dyDescent="0.25">
      <c r="A284" s="91"/>
      <c r="B284" s="61"/>
      <c r="C284" s="92" t="s">
        <v>194</v>
      </c>
      <c r="D284" s="92">
        <v>7000</v>
      </c>
      <c r="E284" s="92">
        <f>608/7</f>
        <v>86.857142857142861</v>
      </c>
      <c r="F284" s="92">
        <v>2</v>
      </c>
      <c r="G284" s="93">
        <f t="shared" si="28"/>
        <v>1216000</v>
      </c>
      <c r="H284" s="96"/>
      <c r="I284" s="96"/>
      <c r="J284" s="96"/>
      <c r="K284" s="96"/>
      <c r="L284" s="96"/>
      <c r="M284" s="96"/>
    </row>
    <row r="285" spans="1:13" s="132" customFormat="1" x14ac:dyDescent="0.25">
      <c r="A285" s="91"/>
      <c r="B285" s="61"/>
      <c r="C285" s="92" t="s">
        <v>195</v>
      </c>
      <c r="D285" s="92">
        <v>7000</v>
      </c>
      <c r="E285" s="92">
        <f>137/6</f>
        <v>22.833333333333332</v>
      </c>
      <c r="F285" s="92">
        <v>4</v>
      </c>
      <c r="G285" s="93">
        <f t="shared" si="28"/>
        <v>639333.33333333326</v>
      </c>
      <c r="H285" s="131"/>
      <c r="I285" s="131"/>
      <c r="J285" s="131"/>
      <c r="K285" s="131"/>
      <c r="L285" s="131"/>
      <c r="M285" s="131"/>
    </row>
    <row r="286" spans="1:13" s="132" customFormat="1" x14ac:dyDescent="0.25">
      <c r="A286" s="91"/>
      <c r="B286" s="61"/>
      <c r="C286" s="92"/>
      <c r="D286" s="92"/>
      <c r="E286" s="92"/>
      <c r="F286" s="92"/>
      <c r="G286" s="93"/>
      <c r="H286" s="131"/>
      <c r="I286" s="131"/>
      <c r="J286" s="131"/>
      <c r="K286" s="131"/>
      <c r="L286" s="131"/>
      <c r="M286" s="131"/>
    </row>
    <row r="287" spans="1:13" s="97" customFormat="1" x14ac:dyDescent="0.25">
      <c r="A287" s="91"/>
      <c r="B287" s="61"/>
      <c r="C287" s="128" t="s">
        <v>206</v>
      </c>
      <c r="D287" s="92">
        <f>7000</f>
        <v>7000</v>
      </c>
      <c r="E287" s="92">
        <v>180</v>
      </c>
      <c r="F287" s="92">
        <v>2</v>
      </c>
      <c r="G287" s="93">
        <f>D287*E287*F287</f>
        <v>2520000</v>
      </c>
      <c r="H287" s="96"/>
      <c r="I287" s="96"/>
      <c r="J287" s="96"/>
      <c r="K287" s="96"/>
      <c r="L287" s="96"/>
      <c r="M287" s="96"/>
    </row>
    <row r="288" spans="1:13" s="97" customFormat="1" x14ac:dyDescent="0.25">
      <c r="A288" s="91"/>
      <c r="B288" s="61"/>
      <c r="C288" s="128" t="s">
        <v>149</v>
      </c>
      <c r="D288" s="92">
        <f>7000</f>
        <v>7000</v>
      </c>
      <c r="E288" s="92">
        <v>20</v>
      </c>
      <c r="F288" s="92">
        <v>2</v>
      </c>
      <c r="G288" s="93">
        <f>D288*E288*F288</f>
        <v>280000</v>
      </c>
      <c r="H288" s="96"/>
      <c r="I288" s="96"/>
      <c r="J288" s="96"/>
      <c r="K288" s="96"/>
      <c r="L288" s="96"/>
      <c r="M288" s="96"/>
    </row>
    <row r="289" spans="1:13" s="97" customFormat="1" x14ac:dyDescent="0.25">
      <c r="A289" s="91"/>
      <c r="B289" s="61"/>
      <c r="C289" s="128" t="s">
        <v>198</v>
      </c>
      <c r="D289" s="92">
        <v>1000000</v>
      </c>
      <c r="E289" s="92">
        <v>1</v>
      </c>
      <c r="F289" s="92">
        <v>3</v>
      </c>
      <c r="G289" s="93">
        <f t="shared" ref="G289" si="29">D289*E289*F289</f>
        <v>3000000</v>
      </c>
      <c r="H289" s="96"/>
      <c r="I289" s="96"/>
      <c r="J289" s="96"/>
      <c r="K289" s="96"/>
      <c r="L289" s="96"/>
      <c r="M289" s="96"/>
    </row>
    <row r="290" spans="1:13" s="97" customFormat="1" x14ac:dyDescent="0.25">
      <c r="A290" s="91"/>
      <c r="B290" s="61"/>
      <c r="C290" s="135" t="s">
        <v>97</v>
      </c>
      <c r="D290" s="92">
        <v>20000</v>
      </c>
      <c r="E290" s="92">
        <v>45</v>
      </c>
      <c r="F290" s="92">
        <v>3</v>
      </c>
      <c r="G290" s="93">
        <f>D290*E290*F290</f>
        <v>2700000</v>
      </c>
      <c r="H290" s="96"/>
      <c r="I290" s="96"/>
      <c r="J290" s="96"/>
      <c r="K290" s="96"/>
      <c r="L290" s="96"/>
      <c r="M290" s="96"/>
    </row>
    <row r="291" spans="1:13" s="97" customFormat="1" x14ac:dyDescent="0.25">
      <c r="A291" s="91"/>
      <c r="B291" s="61"/>
      <c r="C291" s="92" t="s">
        <v>60</v>
      </c>
      <c r="D291" s="92">
        <v>20000</v>
      </c>
      <c r="E291" s="92">
        <v>43</v>
      </c>
      <c r="F291" s="92">
        <v>1</v>
      </c>
      <c r="G291" s="93">
        <f>D291*E291*F291</f>
        <v>860000</v>
      </c>
      <c r="H291" s="96"/>
      <c r="I291" s="96"/>
      <c r="J291" s="96"/>
      <c r="K291" s="96"/>
      <c r="L291" s="96"/>
      <c r="M291" s="96"/>
    </row>
    <row r="292" spans="1:13" s="97" customFormat="1" x14ac:dyDescent="0.25">
      <c r="A292" s="91"/>
      <c r="B292" s="61"/>
      <c r="C292" s="92" t="s">
        <v>138</v>
      </c>
      <c r="D292" s="92">
        <v>50000</v>
      </c>
      <c r="E292" s="92">
        <v>41</v>
      </c>
      <c r="F292" s="92">
        <v>1</v>
      </c>
      <c r="G292" s="93">
        <f t="shared" ref="G292:G293" si="30">D292*E292*F292</f>
        <v>2050000</v>
      </c>
      <c r="H292" s="96"/>
      <c r="I292" s="96"/>
      <c r="J292" s="96"/>
      <c r="K292" s="96"/>
      <c r="L292" s="96"/>
      <c r="M292" s="96"/>
    </row>
    <row r="293" spans="1:13" s="97" customFormat="1" x14ac:dyDescent="0.25">
      <c r="A293" s="91"/>
      <c r="B293" s="61"/>
      <c r="C293" s="92" t="s">
        <v>200</v>
      </c>
      <c r="D293" s="92">
        <v>40000</v>
      </c>
      <c r="E293" s="92">
        <v>7</v>
      </c>
      <c r="F293" s="92">
        <v>3</v>
      </c>
      <c r="G293" s="93">
        <f t="shared" si="30"/>
        <v>840000</v>
      </c>
      <c r="H293" s="96"/>
      <c r="I293" s="96"/>
      <c r="J293" s="96"/>
      <c r="K293" s="96"/>
      <c r="L293" s="96"/>
      <c r="M293" s="96"/>
    </row>
    <row r="294" spans="1:13" s="97" customFormat="1" ht="12" thickBot="1" x14ac:dyDescent="0.3">
      <c r="A294" s="91"/>
      <c r="B294" s="120"/>
      <c r="C294" s="92"/>
      <c r="D294" s="92"/>
      <c r="E294" s="92"/>
      <c r="F294" s="92"/>
      <c r="G294" s="136"/>
      <c r="H294" s="96"/>
      <c r="I294" s="96"/>
      <c r="J294" s="96"/>
      <c r="K294" s="96"/>
      <c r="L294" s="96"/>
      <c r="M294" s="96"/>
    </row>
    <row r="295" spans="1:13" s="49" customFormat="1" ht="12" thickBot="1" x14ac:dyDescent="0.3">
      <c r="A295" s="91"/>
      <c r="B295" s="120"/>
      <c r="C295" s="92" t="s">
        <v>140</v>
      </c>
      <c r="D295" s="92"/>
      <c r="E295" s="92"/>
      <c r="F295" s="92"/>
      <c r="G295" s="126">
        <f>SUM(G242:G294)</f>
        <v>102115666.66666666</v>
      </c>
      <c r="H295" s="127">
        <f>G295/8136</f>
        <v>12551.089806620779</v>
      </c>
      <c r="I295" s="48"/>
      <c r="J295" s="48"/>
      <c r="K295" s="48"/>
      <c r="L295" s="48"/>
      <c r="M295" s="48"/>
    </row>
    <row r="296" spans="1:13" s="49" customFormat="1" ht="12" thickBot="1" x14ac:dyDescent="0.3">
      <c r="A296" s="91"/>
      <c r="B296" s="133"/>
      <c r="C296" s="133"/>
      <c r="D296" s="92"/>
      <c r="E296" s="92"/>
      <c r="F296" s="92"/>
      <c r="G296" s="137"/>
      <c r="H296" s="48"/>
      <c r="I296" s="48"/>
      <c r="J296" s="48"/>
      <c r="K296" s="48"/>
      <c r="L296" s="48"/>
      <c r="M296" s="48"/>
    </row>
    <row r="297" spans="1:13" s="49" customFormat="1" ht="22.5" x14ac:dyDescent="0.25">
      <c r="A297" s="125">
        <v>1.5</v>
      </c>
      <c r="B297" s="116" t="s">
        <v>207</v>
      </c>
      <c r="C297" s="117" t="s">
        <v>39</v>
      </c>
      <c r="D297" s="117">
        <v>150000</v>
      </c>
      <c r="E297" s="117">
        <v>1</v>
      </c>
      <c r="F297" s="117">
        <v>1</v>
      </c>
      <c r="G297" s="118">
        <f t="shared" ref="G297" si="31">D297*E297*F297</f>
        <v>150000</v>
      </c>
      <c r="H297" s="48"/>
      <c r="I297" s="48"/>
      <c r="J297" s="48"/>
      <c r="K297" s="48"/>
      <c r="L297" s="48"/>
      <c r="M297" s="48"/>
    </row>
    <row r="298" spans="1:13" s="49" customFormat="1" x14ac:dyDescent="0.25">
      <c r="A298" s="91"/>
      <c r="B298" s="61" t="s">
        <v>208</v>
      </c>
      <c r="C298" s="92" t="s">
        <v>209</v>
      </c>
      <c r="D298" s="92">
        <v>50000</v>
      </c>
      <c r="E298" s="92">
        <v>10</v>
      </c>
      <c r="F298" s="92">
        <v>5</v>
      </c>
      <c r="G298" s="93">
        <f>D298*E298*F298</f>
        <v>2500000</v>
      </c>
      <c r="H298" s="48"/>
      <c r="I298" s="48"/>
      <c r="J298" s="48"/>
      <c r="K298" s="48"/>
      <c r="L298" s="48"/>
      <c r="M298" s="48"/>
    </row>
    <row r="299" spans="1:13" s="97" customFormat="1" x14ac:dyDescent="0.25">
      <c r="A299" s="91"/>
      <c r="C299" s="92" t="s">
        <v>210</v>
      </c>
      <c r="D299" s="92">
        <f>7000*10</f>
        <v>70000</v>
      </c>
      <c r="E299" s="92">
        <v>1</v>
      </c>
      <c r="F299" s="92">
        <v>5</v>
      </c>
      <c r="G299" s="93">
        <f t="shared" ref="G299" si="32">D299*E299*F299</f>
        <v>350000</v>
      </c>
      <c r="H299" s="96"/>
      <c r="I299" s="96"/>
      <c r="J299" s="96"/>
      <c r="K299" s="96"/>
      <c r="L299" s="96"/>
      <c r="M299" s="96"/>
    </row>
    <row r="300" spans="1:13" s="97" customFormat="1" x14ac:dyDescent="0.25">
      <c r="A300" s="91"/>
      <c r="B300" s="61"/>
      <c r="C300" s="120" t="s">
        <v>97</v>
      </c>
      <c r="D300" s="92">
        <v>20000</v>
      </c>
      <c r="E300" s="92">
        <v>10</v>
      </c>
      <c r="F300" s="92">
        <v>5</v>
      </c>
      <c r="G300" s="93">
        <f>D300*E300*F300</f>
        <v>1000000</v>
      </c>
      <c r="H300" s="96"/>
      <c r="I300" s="96"/>
      <c r="J300" s="96"/>
      <c r="K300" s="96"/>
      <c r="L300" s="96"/>
      <c r="M300" s="96"/>
    </row>
    <row r="301" spans="1:13" s="97" customFormat="1" x14ac:dyDescent="0.25">
      <c r="A301" s="91"/>
      <c r="B301" s="61"/>
      <c r="C301" s="92" t="s">
        <v>98</v>
      </c>
      <c r="D301" s="92">
        <v>500000</v>
      </c>
      <c r="E301" s="92">
        <v>2</v>
      </c>
      <c r="F301" s="92">
        <v>1</v>
      </c>
      <c r="G301" s="93">
        <f t="shared" ref="G301:G307" si="33">D301*E301*F301</f>
        <v>1000000</v>
      </c>
      <c r="H301" s="96"/>
      <c r="I301" s="96"/>
      <c r="J301" s="96"/>
      <c r="K301" s="96"/>
      <c r="L301" s="96"/>
      <c r="M301" s="96"/>
    </row>
    <row r="302" spans="1:13" s="97" customFormat="1" x14ac:dyDescent="0.25">
      <c r="A302" s="91"/>
      <c r="B302" s="61"/>
      <c r="C302" s="92" t="s">
        <v>211</v>
      </c>
      <c r="D302" s="92">
        <v>500000</v>
      </c>
      <c r="E302" s="92">
        <v>1</v>
      </c>
      <c r="F302" s="92">
        <v>5</v>
      </c>
      <c r="G302" s="93">
        <f t="shared" si="33"/>
        <v>2500000</v>
      </c>
      <c r="H302" s="96"/>
      <c r="I302" s="96"/>
      <c r="J302" s="96"/>
      <c r="K302" s="96"/>
      <c r="L302" s="96"/>
      <c r="M302" s="96"/>
    </row>
    <row r="303" spans="1:13" s="97" customFormat="1" x14ac:dyDescent="0.25">
      <c r="A303" s="91"/>
      <c r="B303" s="61"/>
      <c r="C303" s="92" t="s">
        <v>212</v>
      </c>
      <c r="D303" s="92">
        <v>20000</v>
      </c>
      <c r="E303" s="92">
        <v>10</v>
      </c>
      <c r="F303" s="92">
        <v>5</v>
      </c>
      <c r="G303" s="93">
        <f t="shared" si="33"/>
        <v>1000000</v>
      </c>
      <c r="H303" s="96"/>
      <c r="I303" s="96"/>
      <c r="J303" s="96"/>
      <c r="K303" s="96"/>
      <c r="L303" s="96"/>
      <c r="M303" s="96"/>
    </row>
    <row r="304" spans="1:13" s="97" customFormat="1" x14ac:dyDescent="0.25">
      <c r="A304" s="91"/>
      <c r="B304" s="61"/>
      <c r="C304" s="92" t="s">
        <v>213</v>
      </c>
      <c r="D304" s="92">
        <v>50000</v>
      </c>
      <c r="E304" s="92">
        <v>4</v>
      </c>
      <c r="F304" s="92">
        <v>2</v>
      </c>
      <c r="G304" s="93">
        <f t="shared" si="33"/>
        <v>400000</v>
      </c>
      <c r="H304" s="96"/>
      <c r="I304" s="96"/>
      <c r="J304" s="96"/>
      <c r="K304" s="96"/>
      <c r="L304" s="96"/>
      <c r="M304" s="96"/>
    </row>
    <row r="305" spans="1:13" s="97" customFormat="1" x14ac:dyDescent="0.25">
      <c r="A305" s="91"/>
      <c r="B305" s="61"/>
      <c r="C305" s="92" t="s">
        <v>214</v>
      </c>
      <c r="D305" s="92">
        <v>3000000</v>
      </c>
      <c r="E305" s="92">
        <v>1</v>
      </c>
      <c r="F305" s="92">
        <v>5</v>
      </c>
      <c r="G305" s="93">
        <f t="shared" si="33"/>
        <v>15000000</v>
      </c>
      <c r="H305" s="96"/>
      <c r="I305" s="96"/>
      <c r="J305" s="96"/>
      <c r="K305" s="96"/>
      <c r="L305" s="96"/>
      <c r="M305" s="96"/>
    </row>
    <row r="306" spans="1:13" s="97" customFormat="1" x14ac:dyDescent="0.25">
      <c r="A306" s="91"/>
      <c r="B306" s="61"/>
      <c r="C306" s="92" t="s">
        <v>215</v>
      </c>
      <c r="D306" s="92">
        <v>5000000</v>
      </c>
      <c r="E306" s="92">
        <v>2</v>
      </c>
      <c r="F306" s="92">
        <v>1</v>
      </c>
      <c r="G306" s="93">
        <f t="shared" si="33"/>
        <v>10000000</v>
      </c>
      <c r="H306" s="96"/>
      <c r="I306" s="96"/>
      <c r="J306" s="96"/>
      <c r="K306" s="96"/>
      <c r="L306" s="96"/>
      <c r="M306" s="96"/>
    </row>
    <row r="307" spans="1:13" s="97" customFormat="1" x14ac:dyDescent="0.25">
      <c r="A307" s="91"/>
      <c r="B307" s="61"/>
      <c r="C307" s="92" t="s">
        <v>216</v>
      </c>
      <c r="D307" s="92">
        <v>1000000</v>
      </c>
      <c r="E307" s="92">
        <v>1</v>
      </c>
      <c r="F307" s="92">
        <v>5</v>
      </c>
      <c r="G307" s="93">
        <f t="shared" si="33"/>
        <v>5000000</v>
      </c>
      <c r="H307" s="96"/>
      <c r="I307" s="96"/>
      <c r="J307" s="96"/>
      <c r="K307" s="96"/>
      <c r="L307" s="96"/>
      <c r="M307" s="96"/>
    </row>
    <row r="308" spans="1:13" s="49" customFormat="1" ht="12" thickBot="1" x14ac:dyDescent="0.3">
      <c r="A308" s="91"/>
      <c r="B308" s="120"/>
      <c r="C308" s="92"/>
      <c r="D308" s="92"/>
      <c r="E308" s="92"/>
      <c r="F308" s="92"/>
      <c r="G308" s="93"/>
      <c r="H308" s="48"/>
      <c r="I308" s="48"/>
      <c r="J308" s="48"/>
      <c r="K308" s="48"/>
      <c r="L308" s="48"/>
      <c r="M308" s="48"/>
    </row>
    <row r="309" spans="1:13" s="49" customFormat="1" ht="12" thickBot="1" x14ac:dyDescent="0.3">
      <c r="A309" s="91"/>
      <c r="B309" s="120"/>
      <c r="C309" s="92" t="s">
        <v>140</v>
      </c>
      <c r="D309" s="92"/>
      <c r="E309" s="92"/>
      <c r="F309" s="92"/>
      <c r="G309" s="126">
        <f>SUM(G297:G308)</f>
        <v>38900000</v>
      </c>
      <c r="H309" s="127">
        <f>G309/8136</f>
        <v>4781.2192723697144</v>
      </c>
      <c r="I309" s="48"/>
      <c r="J309" s="48"/>
      <c r="K309" s="48"/>
      <c r="L309" s="48"/>
      <c r="M309" s="48"/>
    </row>
    <row r="310" spans="1:13" s="49" customFormat="1" ht="12" thickBot="1" x14ac:dyDescent="0.3">
      <c r="A310" s="91"/>
      <c r="B310" s="120"/>
      <c r="C310" s="92"/>
      <c r="D310" s="92"/>
      <c r="E310" s="92"/>
      <c r="F310" s="92"/>
      <c r="G310" s="118"/>
      <c r="H310" s="96"/>
      <c r="I310" s="48"/>
      <c r="J310" s="48"/>
      <c r="K310" s="48"/>
      <c r="L310" s="48"/>
      <c r="M310" s="48"/>
    </row>
    <row r="311" spans="1:13" s="49" customFormat="1" ht="22.5" x14ac:dyDescent="0.25">
      <c r="A311" s="125">
        <v>1.6</v>
      </c>
      <c r="B311" s="116" t="s">
        <v>217</v>
      </c>
      <c r="C311" s="117" t="s">
        <v>39</v>
      </c>
      <c r="D311" s="117">
        <v>150000</v>
      </c>
      <c r="E311" s="117">
        <v>1</v>
      </c>
      <c r="F311" s="117">
        <v>9</v>
      </c>
      <c r="G311" s="118">
        <f t="shared" ref="G311" si="34">D311*E311*F311</f>
        <v>1350000</v>
      </c>
      <c r="H311" s="48"/>
      <c r="I311" s="48"/>
      <c r="J311" s="48"/>
      <c r="K311" s="48"/>
      <c r="L311" s="48"/>
      <c r="M311" s="48"/>
    </row>
    <row r="312" spans="1:13" s="49" customFormat="1" x14ac:dyDescent="0.25">
      <c r="A312" s="91"/>
      <c r="B312" s="61" t="s">
        <v>218</v>
      </c>
      <c r="C312" s="92" t="s">
        <v>219</v>
      </c>
      <c r="D312" s="92">
        <v>50000</v>
      </c>
      <c r="E312" s="92">
        <v>10</v>
      </c>
      <c r="F312" s="92">
        <v>9</v>
      </c>
      <c r="G312" s="93">
        <f>D312*E312*F312</f>
        <v>4500000</v>
      </c>
      <c r="H312" s="48"/>
      <c r="I312" s="48"/>
      <c r="J312" s="48"/>
      <c r="K312" s="48"/>
      <c r="L312" s="48"/>
      <c r="M312" s="48"/>
    </row>
    <row r="313" spans="1:13" s="97" customFormat="1" x14ac:dyDescent="0.25">
      <c r="A313" s="91"/>
      <c r="C313" s="92" t="s">
        <v>220</v>
      </c>
      <c r="D313" s="92">
        <f>7000*10</f>
        <v>70000</v>
      </c>
      <c r="E313" s="92">
        <v>1</v>
      </c>
      <c r="F313" s="92">
        <v>9</v>
      </c>
      <c r="G313" s="93">
        <f t="shared" ref="G313" si="35">D313*E313*F313</f>
        <v>630000</v>
      </c>
      <c r="H313" s="96"/>
      <c r="I313" s="96"/>
      <c r="J313" s="96"/>
      <c r="K313" s="96"/>
      <c r="L313" s="96"/>
      <c r="M313" s="96"/>
    </row>
    <row r="314" spans="1:13" s="97" customFormat="1" x14ac:dyDescent="0.25">
      <c r="A314" s="91"/>
      <c r="B314" s="61"/>
      <c r="C314" s="120" t="s">
        <v>97</v>
      </c>
      <c r="D314" s="92">
        <v>20000</v>
      </c>
      <c r="E314" s="92">
        <v>100</v>
      </c>
      <c r="F314" s="92">
        <v>9</v>
      </c>
      <c r="G314" s="93">
        <f>D314*E314*F314</f>
        <v>18000000</v>
      </c>
      <c r="H314" s="96"/>
      <c r="I314" s="96"/>
      <c r="J314" s="96"/>
      <c r="K314" s="96"/>
      <c r="L314" s="96"/>
      <c r="M314" s="96"/>
    </row>
    <row r="315" spans="1:13" s="97" customFormat="1" x14ac:dyDescent="0.25">
      <c r="A315" s="91"/>
      <c r="B315" s="61"/>
      <c r="C315" s="92" t="s">
        <v>98</v>
      </c>
      <c r="D315" s="92">
        <v>500000</v>
      </c>
      <c r="E315" s="92">
        <v>1</v>
      </c>
      <c r="F315" s="92">
        <v>9</v>
      </c>
      <c r="G315" s="93">
        <f t="shared" ref="G315:G321" si="36">D315*E315*F315</f>
        <v>4500000</v>
      </c>
      <c r="H315" s="96"/>
      <c r="I315" s="96"/>
      <c r="J315" s="96"/>
      <c r="K315" s="96"/>
      <c r="L315" s="96"/>
      <c r="M315" s="96"/>
    </row>
    <row r="316" spans="1:13" s="97" customFormat="1" x14ac:dyDescent="0.25">
      <c r="A316" s="91"/>
      <c r="B316" s="61"/>
      <c r="C316" s="92" t="s">
        <v>221</v>
      </c>
      <c r="D316" s="92">
        <v>500000</v>
      </c>
      <c r="E316" s="92">
        <v>1</v>
      </c>
      <c r="F316" s="92">
        <v>9</v>
      </c>
      <c r="G316" s="93">
        <f t="shared" si="36"/>
        <v>4500000</v>
      </c>
      <c r="H316" s="96"/>
      <c r="I316" s="96"/>
      <c r="J316" s="96"/>
      <c r="K316" s="96"/>
      <c r="L316" s="96"/>
      <c r="M316" s="96"/>
    </row>
    <row r="317" spans="1:13" s="97" customFormat="1" x14ac:dyDescent="0.25">
      <c r="A317" s="91"/>
      <c r="B317" s="61"/>
      <c r="C317" s="92" t="s">
        <v>212</v>
      </c>
      <c r="D317" s="92">
        <v>20000</v>
      </c>
      <c r="E317" s="92">
        <v>100</v>
      </c>
      <c r="F317" s="92">
        <v>9</v>
      </c>
      <c r="G317" s="93">
        <f t="shared" si="36"/>
        <v>18000000</v>
      </c>
      <c r="H317" s="96"/>
      <c r="I317" s="96"/>
      <c r="J317" s="96"/>
      <c r="K317" s="96"/>
      <c r="L317" s="96"/>
      <c r="M317" s="96"/>
    </row>
    <row r="318" spans="1:13" s="97" customFormat="1" x14ac:dyDescent="0.25">
      <c r="A318" s="91"/>
      <c r="B318" s="61"/>
      <c r="C318" s="92" t="s">
        <v>213</v>
      </c>
      <c r="D318" s="92">
        <v>50000</v>
      </c>
      <c r="E318" s="92">
        <v>4</v>
      </c>
      <c r="F318" s="92">
        <v>9</v>
      </c>
      <c r="G318" s="93">
        <f t="shared" si="36"/>
        <v>1800000</v>
      </c>
      <c r="H318" s="96"/>
      <c r="I318" s="96"/>
      <c r="J318" s="96"/>
      <c r="K318" s="96"/>
      <c r="L318" s="96"/>
      <c r="M318" s="96"/>
    </row>
    <row r="319" spans="1:13" s="97" customFormat="1" x14ac:dyDescent="0.25">
      <c r="A319" s="91"/>
      <c r="B319" s="61"/>
      <c r="C319" s="92" t="s">
        <v>214</v>
      </c>
      <c r="D319" s="92">
        <v>500000</v>
      </c>
      <c r="E319" s="92">
        <v>1</v>
      </c>
      <c r="F319" s="92">
        <v>9</v>
      </c>
      <c r="G319" s="93">
        <f t="shared" si="36"/>
        <v>4500000</v>
      </c>
      <c r="H319" s="96"/>
      <c r="I319" s="96"/>
      <c r="J319" s="96"/>
      <c r="K319" s="96"/>
      <c r="L319" s="96"/>
      <c r="M319" s="96"/>
    </row>
    <row r="320" spans="1:13" s="97" customFormat="1" x14ac:dyDescent="0.25">
      <c r="A320" s="91"/>
      <c r="B320" s="61"/>
      <c r="C320" s="92" t="s">
        <v>222</v>
      </c>
      <c r="D320" s="92">
        <v>1000000</v>
      </c>
      <c r="E320" s="92">
        <v>1</v>
      </c>
      <c r="F320" s="92">
        <v>9</v>
      </c>
      <c r="G320" s="93">
        <f t="shared" si="36"/>
        <v>9000000</v>
      </c>
      <c r="H320" s="96"/>
      <c r="I320" s="96"/>
      <c r="J320" s="96"/>
      <c r="K320" s="96"/>
      <c r="L320" s="96"/>
      <c r="M320" s="96"/>
    </row>
    <row r="321" spans="1:13" s="97" customFormat="1" x14ac:dyDescent="0.25">
      <c r="A321" s="91"/>
      <c r="B321" s="61"/>
      <c r="C321" s="92" t="s">
        <v>223</v>
      </c>
      <c r="D321" s="92">
        <v>40000</v>
      </c>
      <c r="E321" s="92">
        <v>7</v>
      </c>
      <c r="F321" s="92">
        <v>9</v>
      </c>
      <c r="G321" s="93">
        <f t="shared" si="36"/>
        <v>2520000</v>
      </c>
      <c r="H321" s="96"/>
      <c r="I321" s="96"/>
      <c r="J321" s="96"/>
      <c r="K321" s="96"/>
      <c r="L321" s="96"/>
      <c r="M321" s="96"/>
    </row>
    <row r="322" spans="1:13" s="49" customFormat="1" ht="12" thickBot="1" x14ac:dyDescent="0.3">
      <c r="A322" s="91"/>
      <c r="B322" s="120"/>
      <c r="C322" s="92"/>
      <c r="D322" s="92"/>
      <c r="E322" s="92"/>
      <c r="F322" s="92"/>
      <c r="G322" s="93"/>
      <c r="H322" s="48"/>
      <c r="I322" s="48"/>
      <c r="J322" s="48"/>
      <c r="K322" s="48"/>
      <c r="L322" s="48"/>
      <c r="M322" s="48"/>
    </row>
    <row r="323" spans="1:13" s="49" customFormat="1" ht="12" thickBot="1" x14ac:dyDescent="0.3">
      <c r="A323" s="91"/>
      <c r="B323" s="120"/>
      <c r="C323" s="92" t="s">
        <v>140</v>
      </c>
      <c r="D323" s="92"/>
      <c r="E323" s="92"/>
      <c r="F323" s="92"/>
      <c r="G323" s="126">
        <f>SUM(G311:G322)</f>
        <v>69300000</v>
      </c>
      <c r="H323" s="127">
        <f>G323/8136</f>
        <v>8517.6991150442482</v>
      </c>
      <c r="I323" s="48"/>
      <c r="J323" s="48"/>
      <c r="K323" s="48"/>
      <c r="L323" s="48"/>
      <c r="M323" s="48"/>
    </row>
    <row r="324" spans="1:13" s="49" customFormat="1" ht="12" thickBot="1" x14ac:dyDescent="0.3">
      <c r="A324" s="91"/>
      <c r="B324" s="120"/>
      <c r="C324" s="92"/>
      <c r="D324" s="92"/>
      <c r="E324" s="92"/>
      <c r="F324" s="92"/>
      <c r="G324" s="93"/>
      <c r="H324" s="48"/>
      <c r="I324" s="48"/>
      <c r="J324" s="48"/>
      <c r="K324" s="48"/>
      <c r="L324" s="48"/>
      <c r="M324" s="48"/>
    </row>
    <row r="325" spans="1:13" s="49" customFormat="1" ht="33.75" x14ac:dyDescent="0.25">
      <c r="A325" s="125">
        <v>1.7</v>
      </c>
      <c r="B325" s="116" t="s">
        <v>224</v>
      </c>
      <c r="C325" s="117" t="s">
        <v>39</v>
      </c>
      <c r="D325" s="117">
        <v>150000</v>
      </c>
      <c r="E325" s="117">
        <v>1</v>
      </c>
      <c r="F325" s="117">
        <v>1</v>
      </c>
      <c r="G325" s="138">
        <f t="shared" ref="G325" si="37">D325*E325*F325</f>
        <v>150000</v>
      </c>
      <c r="H325" s="96"/>
      <c r="I325" s="48"/>
      <c r="J325" s="48"/>
      <c r="K325" s="48"/>
      <c r="L325" s="48"/>
      <c r="M325" s="48"/>
    </row>
    <row r="326" spans="1:13" s="49" customFormat="1" x14ac:dyDescent="0.25">
      <c r="A326" s="91"/>
      <c r="B326" s="61" t="s">
        <v>225</v>
      </c>
      <c r="C326" s="92" t="s">
        <v>155</v>
      </c>
      <c r="D326" s="92">
        <v>170000</v>
      </c>
      <c r="E326" s="92">
        <v>1</v>
      </c>
      <c r="F326" s="92">
        <v>4</v>
      </c>
      <c r="G326" s="93">
        <f>D326*E326*F326</f>
        <v>680000</v>
      </c>
      <c r="H326" s="96"/>
      <c r="I326" s="48"/>
      <c r="J326" s="48"/>
      <c r="K326" s="48"/>
      <c r="L326" s="48"/>
      <c r="M326" s="48"/>
    </row>
    <row r="327" spans="1:13" s="49" customFormat="1" x14ac:dyDescent="0.25">
      <c r="A327" s="91"/>
      <c r="B327" s="61" t="s">
        <v>226</v>
      </c>
      <c r="C327" s="92" t="s">
        <v>157</v>
      </c>
      <c r="D327" s="92">
        <v>100000</v>
      </c>
      <c r="E327" s="92">
        <v>1</v>
      </c>
      <c r="F327" s="92">
        <v>5</v>
      </c>
      <c r="G327" s="93">
        <f t="shared" ref="G327" si="38">D327*E327*F327</f>
        <v>500000</v>
      </c>
      <c r="H327" s="96"/>
      <c r="I327" s="48"/>
      <c r="J327" s="48"/>
      <c r="K327" s="48"/>
      <c r="L327" s="48"/>
      <c r="M327" s="48"/>
    </row>
    <row r="328" spans="1:13" s="49" customFormat="1" x14ac:dyDescent="0.25">
      <c r="A328" s="91"/>
      <c r="B328" s="61" t="s">
        <v>227</v>
      </c>
      <c r="C328" s="92" t="s">
        <v>159</v>
      </c>
      <c r="D328" s="92">
        <v>150000</v>
      </c>
      <c r="E328" s="92">
        <v>1</v>
      </c>
      <c r="F328" s="92">
        <v>4</v>
      </c>
      <c r="G328" s="93">
        <f>D328*E328*F328</f>
        <v>600000</v>
      </c>
      <c r="H328" s="96"/>
      <c r="I328" s="96"/>
      <c r="J328" s="48"/>
      <c r="K328" s="48"/>
      <c r="L328" s="48"/>
      <c r="M328" s="48"/>
    </row>
    <row r="329" spans="1:13" s="49" customFormat="1" x14ac:dyDescent="0.25">
      <c r="A329" s="91"/>
      <c r="B329" s="130"/>
      <c r="C329" s="92" t="s">
        <v>160</v>
      </c>
      <c r="D329" s="92">
        <v>100000</v>
      </c>
      <c r="E329" s="92">
        <f>E328</f>
        <v>1</v>
      </c>
      <c r="F329" s="92">
        <v>5</v>
      </c>
      <c r="G329" s="93">
        <f t="shared" ref="G329:G333" si="39">D329*E329*F329</f>
        <v>500000</v>
      </c>
      <c r="H329" s="96"/>
      <c r="I329" s="96"/>
      <c r="J329" s="48"/>
      <c r="K329" s="48"/>
      <c r="L329" s="48"/>
      <c r="M329" s="48"/>
    </row>
    <row r="330" spans="1:13" s="49" customFormat="1" ht="33.75" x14ac:dyDescent="0.25">
      <c r="A330" s="91"/>
      <c r="B330" s="130"/>
      <c r="C330" s="120" t="s">
        <v>228</v>
      </c>
      <c r="D330" s="92">
        <v>150000</v>
      </c>
      <c r="E330" s="92">
        <v>5</v>
      </c>
      <c r="F330" s="92">
        <v>4</v>
      </c>
      <c r="G330" s="93">
        <f t="shared" si="39"/>
        <v>3000000</v>
      </c>
      <c r="H330" s="96"/>
      <c r="I330" s="96"/>
      <c r="J330" s="48"/>
      <c r="K330" s="48"/>
      <c r="L330" s="48"/>
      <c r="M330" s="48"/>
    </row>
    <row r="331" spans="1:13" s="49" customFormat="1" ht="33.75" x14ac:dyDescent="0.25">
      <c r="A331" s="91"/>
      <c r="B331" s="130"/>
      <c r="C331" s="120" t="s">
        <v>229</v>
      </c>
      <c r="D331" s="92">
        <v>100000</v>
      </c>
      <c r="E331" s="92">
        <v>5</v>
      </c>
      <c r="F331" s="92">
        <v>5</v>
      </c>
      <c r="G331" s="93">
        <f t="shared" si="39"/>
        <v>2500000</v>
      </c>
      <c r="H331" s="96"/>
      <c r="I331" s="96"/>
      <c r="J331" s="48"/>
      <c r="K331" s="48"/>
      <c r="L331" s="48"/>
      <c r="M331" s="48"/>
    </row>
    <row r="332" spans="1:13" s="49" customFormat="1" x14ac:dyDescent="0.25">
      <c r="A332" s="91"/>
      <c r="C332" s="92" t="s">
        <v>163</v>
      </c>
      <c r="D332" s="92">
        <f>D330</f>
        <v>150000</v>
      </c>
      <c r="E332" s="92">
        <v>2</v>
      </c>
      <c r="F332" s="92">
        <v>4</v>
      </c>
      <c r="G332" s="93">
        <f t="shared" si="39"/>
        <v>1200000</v>
      </c>
      <c r="H332" s="96"/>
      <c r="I332" s="96"/>
      <c r="J332" s="48"/>
      <c r="K332" s="48"/>
      <c r="L332" s="48"/>
      <c r="M332" s="48"/>
    </row>
    <row r="333" spans="1:13" s="49" customFormat="1" x14ac:dyDescent="0.25">
      <c r="A333" s="91"/>
      <c r="C333" s="92" t="s">
        <v>164</v>
      </c>
      <c r="D333" s="92">
        <v>100000</v>
      </c>
      <c r="E333" s="92">
        <v>2</v>
      </c>
      <c r="F333" s="92">
        <v>5</v>
      </c>
      <c r="G333" s="93">
        <f t="shared" si="39"/>
        <v>1000000</v>
      </c>
      <c r="H333" s="96"/>
      <c r="I333" s="96"/>
      <c r="J333" s="48"/>
      <c r="K333" s="48"/>
      <c r="L333" s="48"/>
      <c r="M333" s="48"/>
    </row>
    <row r="334" spans="1:13" s="49" customFormat="1" x14ac:dyDescent="0.25">
      <c r="A334" s="91"/>
      <c r="C334" s="92"/>
      <c r="D334" s="92"/>
      <c r="E334" s="92"/>
      <c r="F334" s="92"/>
      <c r="G334" s="93"/>
      <c r="H334" s="96"/>
      <c r="I334" s="96"/>
      <c r="J334" s="48"/>
      <c r="K334" s="48"/>
      <c r="L334" s="48"/>
      <c r="M334" s="48"/>
    </row>
    <row r="335" spans="1:13" s="49" customFormat="1" x14ac:dyDescent="0.25">
      <c r="A335" s="91"/>
      <c r="C335" s="92" t="s">
        <v>165</v>
      </c>
      <c r="D335" s="92">
        <f>D332</f>
        <v>150000</v>
      </c>
      <c r="E335" s="92">
        <v>5</v>
      </c>
      <c r="F335" s="92">
        <v>3</v>
      </c>
      <c r="G335" s="93">
        <f t="shared" ref="G335:G338" si="40">D335*E335*F335</f>
        <v>2250000</v>
      </c>
      <c r="H335" s="96"/>
      <c r="I335" s="96"/>
      <c r="J335" s="48"/>
      <c r="K335" s="48"/>
      <c r="L335" s="48"/>
      <c r="M335" s="48"/>
    </row>
    <row r="336" spans="1:13" s="49" customFormat="1" x14ac:dyDescent="0.25">
      <c r="A336" s="91"/>
      <c r="C336" s="92" t="s">
        <v>166</v>
      </c>
      <c r="D336" s="92">
        <v>100000</v>
      </c>
      <c r="E336" s="92">
        <v>5</v>
      </c>
      <c r="F336" s="92">
        <v>4</v>
      </c>
      <c r="G336" s="93">
        <f t="shared" si="40"/>
        <v>2000000</v>
      </c>
      <c r="H336" s="96"/>
      <c r="I336" s="96"/>
      <c r="J336" s="48"/>
      <c r="K336" s="48"/>
      <c r="L336" s="48"/>
      <c r="M336" s="48"/>
    </row>
    <row r="337" spans="1:13" s="49" customFormat="1" x14ac:dyDescent="0.25">
      <c r="A337" s="91"/>
      <c r="C337" s="92" t="s">
        <v>167</v>
      </c>
      <c r="D337" s="92">
        <f>D332</f>
        <v>150000</v>
      </c>
      <c r="E337" s="92">
        <v>1</v>
      </c>
      <c r="F337" s="92">
        <v>3</v>
      </c>
      <c r="G337" s="93">
        <f t="shared" si="40"/>
        <v>450000</v>
      </c>
      <c r="H337" s="93"/>
      <c r="I337" s="92"/>
      <c r="J337" s="48"/>
      <c r="K337" s="48"/>
      <c r="L337" s="48"/>
      <c r="M337" s="48"/>
    </row>
    <row r="338" spans="1:13" s="49" customFormat="1" x14ac:dyDescent="0.25">
      <c r="A338" s="91"/>
      <c r="C338" s="92" t="s">
        <v>168</v>
      </c>
      <c r="D338" s="92">
        <v>100000</v>
      </c>
      <c r="E338" s="92">
        <f>E337</f>
        <v>1</v>
      </c>
      <c r="F338" s="92">
        <v>4</v>
      </c>
      <c r="G338" s="93">
        <f t="shared" si="40"/>
        <v>400000</v>
      </c>
      <c r="H338" s="96"/>
      <c r="I338" s="120"/>
      <c r="J338" s="48"/>
      <c r="K338" s="48"/>
      <c r="L338" s="48"/>
      <c r="M338" s="48"/>
    </row>
    <row r="339" spans="1:13" s="49" customFormat="1" x14ac:dyDescent="0.25">
      <c r="A339" s="91"/>
      <c r="C339" s="92"/>
      <c r="D339" s="92"/>
      <c r="E339" s="92"/>
      <c r="F339" s="92"/>
      <c r="G339" s="93"/>
      <c r="H339" s="96"/>
      <c r="I339" s="96"/>
      <c r="J339" s="48"/>
      <c r="K339" s="48"/>
      <c r="L339" s="48"/>
      <c r="M339" s="48"/>
    </row>
    <row r="340" spans="1:13" s="49" customFormat="1" x14ac:dyDescent="0.25">
      <c r="A340" s="91"/>
      <c r="C340" s="92" t="s">
        <v>169</v>
      </c>
      <c r="D340" s="92">
        <f>D335</f>
        <v>150000</v>
      </c>
      <c r="E340" s="92">
        <f>3*2</f>
        <v>6</v>
      </c>
      <c r="F340" s="92">
        <v>5</v>
      </c>
      <c r="G340" s="93">
        <f t="shared" ref="G340:G343" si="41">D340*E340*F340</f>
        <v>4500000</v>
      </c>
      <c r="H340" s="96"/>
      <c r="I340" s="96"/>
      <c r="J340" s="48"/>
      <c r="K340" s="48"/>
      <c r="L340" s="48"/>
      <c r="M340" s="48"/>
    </row>
    <row r="341" spans="1:13" s="49" customFormat="1" x14ac:dyDescent="0.25">
      <c r="A341" s="91"/>
      <c r="C341" s="92" t="s">
        <v>170</v>
      </c>
      <c r="D341" s="92">
        <v>100000</v>
      </c>
      <c r="E341" s="92">
        <f>E340</f>
        <v>6</v>
      </c>
      <c r="F341" s="92">
        <v>6</v>
      </c>
      <c r="G341" s="93">
        <f t="shared" si="41"/>
        <v>3600000</v>
      </c>
      <c r="H341" s="96"/>
      <c r="I341" s="92"/>
      <c r="J341" s="48"/>
      <c r="K341" s="48"/>
      <c r="L341" s="48"/>
      <c r="M341" s="48"/>
    </row>
    <row r="342" spans="1:13" s="49" customFormat="1" x14ac:dyDescent="0.25">
      <c r="A342" s="91"/>
      <c r="C342" s="92" t="s">
        <v>171</v>
      </c>
      <c r="D342" s="92">
        <f>D335</f>
        <v>150000</v>
      </c>
      <c r="E342" s="92">
        <f>3*1</f>
        <v>3</v>
      </c>
      <c r="F342" s="92">
        <v>5</v>
      </c>
      <c r="G342" s="93">
        <f t="shared" si="41"/>
        <v>2250000</v>
      </c>
      <c r="H342" s="96"/>
      <c r="I342" s="96"/>
      <c r="J342" s="48"/>
      <c r="K342" s="48"/>
      <c r="L342" s="48"/>
      <c r="M342" s="48"/>
    </row>
    <row r="343" spans="1:13" s="49" customFormat="1" x14ac:dyDescent="0.25">
      <c r="A343" s="91"/>
      <c r="C343" s="92" t="s">
        <v>172</v>
      </c>
      <c r="D343" s="92">
        <v>100000</v>
      </c>
      <c r="E343" s="92">
        <f>E342</f>
        <v>3</v>
      </c>
      <c r="F343" s="92">
        <v>6</v>
      </c>
      <c r="G343" s="93">
        <f t="shared" si="41"/>
        <v>1800000</v>
      </c>
      <c r="H343" s="96"/>
      <c r="I343" s="96"/>
      <c r="J343" s="48"/>
      <c r="K343" s="48"/>
      <c r="L343" s="48"/>
      <c r="M343" s="48"/>
    </row>
    <row r="344" spans="1:13" s="49" customFormat="1" x14ac:dyDescent="0.25">
      <c r="A344" s="91"/>
      <c r="C344" s="92"/>
      <c r="D344" s="92"/>
      <c r="E344" s="92"/>
      <c r="F344" s="92"/>
      <c r="G344" s="93"/>
      <c r="H344" s="96"/>
      <c r="I344" s="96"/>
      <c r="J344" s="48"/>
      <c r="K344" s="48"/>
      <c r="L344" s="48"/>
      <c r="M344" s="48"/>
    </row>
    <row r="345" spans="1:13" s="49" customFormat="1" ht="33.75" x14ac:dyDescent="0.25">
      <c r="A345" s="91"/>
      <c r="C345" s="120" t="s">
        <v>173</v>
      </c>
      <c r="D345" s="92">
        <f>D340</f>
        <v>150000</v>
      </c>
      <c r="E345" s="92">
        <f>13*2</f>
        <v>26</v>
      </c>
      <c r="F345" s="92">
        <v>4</v>
      </c>
      <c r="G345" s="93">
        <f t="shared" ref="G345:G348" si="42">D345*E345*F345</f>
        <v>15600000</v>
      </c>
      <c r="H345" s="96"/>
      <c r="I345" s="48"/>
      <c r="J345" s="48"/>
      <c r="K345" s="48"/>
      <c r="L345" s="48"/>
      <c r="M345" s="48"/>
    </row>
    <row r="346" spans="1:13" s="49" customFormat="1" x14ac:dyDescent="0.25">
      <c r="A346" s="91"/>
      <c r="C346" s="92" t="s">
        <v>174</v>
      </c>
      <c r="D346" s="92">
        <v>100000</v>
      </c>
      <c r="E346" s="92">
        <f>E345</f>
        <v>26</v>
      </c>
      <c r="F346" s="92">
        <v>5</v>
      </c>
      <c r="G346" s="93">
        <f t="shared" si="42"/>
        <v>13000000</v>
      </c>
      <c r="H346" s="48"/>
      <c r="I346" s="48"/>
      <c r="J346" s="48"/>
      <c r="K346" s="48"/>
      <c r="L346" s="48"/>
      <c r="M346" s="48"/>
    </row>
    <row r="347" spans="1:13" s="49" customFormat="1" x14ac:dyDescent="0.25">
      <c r="A347" s="91"/>
      <c r="C347" s="92" t="s">
        <v>175</v>
      </c>
      <c r="D347" s="92">
        <f>D340</f>
        <v>150000</v>
      </c>
      <c r="E347" s="92">
        <f>13*1</f>
        <v>13</v>
      </c>
      <c r="F347" s="92">
        <v>4</v>
      </c>
      <c r="G347" s="93">
        <f t="shared" si="42"/>
        <v>7800000</v>
      </c>
      <c r="H347" s="48"/>
      <c r="I347" s="48"/>
      <c r="J347" s="48"/>
      <c r="K347" s="48"/>
      <c r="L347" s="48"/>
      <c r="M347" s="48"/>
    </row>
    <row r="348" spans="1:13" s="49" customFormat="1" x14ac:dyDescent="0.25">
      <c r="A348" s="91"/>
      <c r="C348" s="92" t="s">
        <v>176</v>
      </c>
      <c r="D348" s="92">
        <v>100000</v>
      </c>
      <c r="E348" s="92">
        <f>E347</f>
        <v>13</v>
      </c>
      <c r="F348" s="92">
        <v>5</v>
      </c>
      <c r="G348" s="93">
        <f t="shared" si="42"/>
        <v>6500000</v>
      </c>
      <c r="H348" s="48"/>
      <c r="I348" s="48"/>
      <c r="J348" s="48"/>
      <c r="K348" s="48"/>
      <c r="L348" s="48"/>
      <c r="M348" s="48"/>
    </row>
    <row r="349" spans="1:13" s="49" customFormat="1" x14ac:dyDescent="0.25">
      <c r="A349" s="91"/>
      <c r="C349" s="92"/>
      <c r="D349" s="92"/>
      <c r="E349" s="92"/>
      <c r="F349" s="92"/>
      <c r="G349" s="93"/>
      <c r="H349" s="48"/>
      <c r="I349" s="48"/>
      <c r="J349" s="48"/>
      <c r="K349" s="48"/>
      <c r="L349" s="48"/>
      <c r="M349" s="48"/>
    </row>
    <row r="350" spans="1:13" s="132" customFormat="1" x14ac:dyDescent="0.25">
      <c r="A350" s="91"/>
      <c r="B350" s="61"/>
      <c r="C350" s="92" t="s">
        <v>177</v>
      </c>
      <c r="D350" s="92">
        <v>7000</v>
      </c>
      <c r="E350" s="92">
        <f>137/6</f>
        <v>22.833333333333332</v>
      </c>
      <c r="F350" s="92">
        <v>2</v>
      </c>
      <c r="G350" s="93">
        <f t="shared" ref="G350:G368" si="43">D350*E350*F350</f>
        <v>319666.66666666663</v>
      </c>
      <c r="H350" s="131"/>
      <c r="I350" s="131"/>
      <c r="J350" s="131"/>
      <c r="K350" s="131"/>
      <c r="L350" s="131"/>
      <c r="M350" s="131"/>
    </row>
    <row r="351" spans="1:13" s="132" customFormat="1" x14ac:dyDescent="0.25">
      <c r="A351" s="91"/>
      <c r="B351" s="61"/>
      <c r="C351" s="92" t="s">
        <v>178</v>
      </c>
      <c r="D351" s="92">
        <v>7000</v>
      </c>
      <c r="E351" s="92">
        <f>61/6</f>
        <v>10.166666666666666</v>
      </c>
      <c r="F351" s="92">
        <v>2</v>
      </c>
      <c r="G351" s="93">
        <f t="shared" si="43"/>
        <v>142333.33333333331</v>
      </c>
      <c r="H351" s="131"/>
      <c r="I351" s="131"/>
      <c r="J351" s="131"/>
      <c r="K351" s="131"/>
      <c r="L351" s="131"/>
      <c r="M351" s="131"/>
    </row>
    <row r="352" spans="1:13" s="97" customFormat="1" x14ac:dyDescent="0.25">
      <c r="A352" s="91"/>
      <c r="B352" s="61"/>
      <c r="C352" s="92" t="s">
        <v>179</v>
      </c>
      <c r="D352" s="92">
        <v>7000</v>
      </c>
      <c r="E352" s="92">
        <f>757/6</f>
        <v>126.16666666666667</v>
      </c>
      <c r="F352" s="92">
        <v>2</v>
      </c>
      <c r="G352" s="93">
        <f t="shared" si="43"/>
        <v>1766333.3333333335</v>
      </c>
      <c r="H352" s="96"/>
      <c r="I352" s="96"/>
      <c r="J352" s="96"/>
      <c r="K352" s="96"/>
      <c r="L352" s="96"/>
      <c r="M352" s="96"/>
    </row>
    <row r="353" spans="1:13" s="97" customFormat="1" x14ac:dyDescent="0.25">
      <c r="A353" s="91"/>
      <c r="B353" s="61"/>
      <c r="C353" s="92" t="s">
        <v>180</v>
      </c>
      <c r="D353" s="92">
        <v>7000</v>
      </c>
      <c r="E353" s="92">
        <f>680/6</f>
        <v>113.33333333333333</v>
      </c>
      <c r="F353" s="92">
        <v>2</v>
      </c>
      <c r="G353" s="93">
        <f t="shared" si="43"/>
        <v>1586666.6666666665</v>
      </c>
      <c r="H353" s="96"/>
      <c r="I353" s="96"/>
      <c r="J353" s="96"/>
      <c r="K353" s="96"/>
      <c r="L353" s="96"/>
      <c r="M353" s="96"/>
    </row>
    <row r="354" spans="1:13" s="97" customFormat="1" x14ac:dyDescent="0.25">
      <c r="A354" s="91"/>
      <c r="B354" s="61"/>
      <c r="C354" s="92" t="s">
        <v>181</v>
      </c>
      <c r="D354" s="92">
        <v>7000</v>
      </c>
      <c r="E354" s="92">
        <f>568/6</f>
        <v>94.666666666666671</v>
      </c>
      <c r="F354" s="92">
        <v>2</v>
      </c>
      <c r="G354" s="93">
        <f t="shared" si="43"/>
        <v>1325333.3333333335</v>
      </c>
      <c r="H354" s="96"/>
      <c r="I354" s="96"/>
      <c r="J354" s="96"/>
      <c r="K354" s="96"/>
      <c r="L354" s="96"/>
      <c r="M354" s="96"/>
    </row>
    <row r="355" spans="1:13" s="97" customFormat="1" x14ac:dyDescent="0.25">
      <c r="A355" s="91"/>
      <c r="B355" s="61"/>
      <c r="C355" s="92" t="s">
        <v>182</v>
      </c>
      <c r="D355" s="92">
        <v>7000</v>
      </c>
      <c r="E355" s="92">
        <f>768/6</f>
        <v>128</v>
      </c>
      <c r="F355" s="92">
        <v>2</v>
      </c>
      <c r="G355" s="93">
        <f t="shared" si="43"/>
        <v>1792000</v>
      </c>
      <c r="H355" s="96"/>
      <c r="I355" s="96"/>
      <c r="J355" s="96"/>
      <c r="K355" s="96"/>
      <c r="L355" s="96"/>
      <c r="M355" s="96"/>
    </row>
    <row r="356" spans="1:13" s="97" customFormat="1" x14ac:dyDescent="0.25">
      <c r="A356" s="91"/>
      <c r="B356" s="61"/>
      <c r="C356" s="92" t="s">
        <v>183</v>
      </c>
      <c r="D356" s="92">
        <v>7000</v>
      </c>
      <c r="E356" s="92">
        <f>1024/7</f>
        <v>146.28571428571428</v>
      </c>
      <c r="F356" s="92">
        <v>2</v>
      </c>
      <c r="G356" s="93">
        <f t="shared" si="43"/>
        <v>2048000</v>
      </c>
      <c r="H356" s="96"/>
      <c r="I356" s="96"/>
      <c r="J356" s="96"/>
      <c r="K356" s="96"/>
      <c r="L356" s="96"/>
      <c r="M356" s="96"/>
    </row>
    <row r="357" spans="1:13" s="97" customFormat="1" x14ac:dyDescent="0.25">
      <c r="A357" s="91"/>
      <c r="B357" s="61"/>
      <c r="C357" s="92" t="s">
        <v>184</v>
      </c>
      <c r="D357" s="92">
        <v>7000</v>
      </c>
      <c r="E357" s="92">
        <f>812/7</f>
        <v>116</v>
      </c>
      <c r="F357" s="92">
        <v>2</v>
      </c>
      <c r="G357" s="93">
        <f t="shared" si="43"/>
        <v>1624000</v>
      </c>
      <c r="H357" s="96"/>
      <c r="I357" s="96"/>
      <c r="J357" s="96"/>
      <c r="K357" s="96"/>
      <c r="L357" s="96"/>
      <c r="M357" s="96"/>
    </row>
    <row r="358" spans="1:13" s="97" customFormat="1" x14ac:dyDescent="0.25">
      <c r="A358" s="91"/>
      <c r="B358" s="61"/>
      <c r="C358" s="92" t="s">
        <v>185</v>
      </c>
      <c r="D358" s="92">
        <v>7000</v>
      </c>
      <c r="E358" s="92">
        <f>817/7</f>
        <v>116.71428571428571</v>
      </c>
      <c r="F358" s="92">
        <v>2</v>
      </c>
      <c r="G358" s="93">
        <f t="shared" si="43"/>
        <v>1634000</v>
      </c>
      <c r="H358" s="96"/>
      <c r="I358" s="96"/>
      <c r="J358" s="96"/>
      <c r="K358" s="96"/>
      <c r="L358" s="96"/>
      <c r="M358" s="96"/>
    </row>
    <row r="359" spans="1:13" s="97" customFormat="1" x14ac:dyDescent="0.25">
      <c r="A359" s="91"/>
      <c r="B359" s="61"/>
      <c r="C359" s="92" t="s">
        <v>186</v>
      </c>
      <c r="D359" s="92">
        <v>7000</v>
      </c>
      <c r="E359" s="92">
        <f>940/7</f>
        <v>134.28571428571428</v>
      </c>
      <c r="F359" s="92">
        <v>2</v>
      </c>
      <c r="G359" s="93">
        <f t="shared" si="43"/>
        <v>1880000</v>
      </c>
      <c r="H359" s="96"/>
      <c r="I359" s="96"/>
      <c r="J359" s="96"/>
      <c r="K359" s="96"/>
      <c r="L359" s="96"/>
      <c r="M359" s="96"/>
    </row>
    <row r="360" spans="1:13" s="97" customFormat="1" x14ac:dyDescent="0.25">
      <c r="A360" s="91"/>
      <c r="B360" s="61"/>
      <c r="C360" s="92" t="s">
        <v>187</v>
      </c>
      <c r="D360" s="92">
        <v>7000</v>
      </c>
      <c r="E360" s="92">
        <f>444/6</f>
        <v>74</v>
      </c>
      <c r="F360" s="92">
        <v>2</v>
      </c>
      <c r="G360" s="93">
        <f t="shared" si="43"/>
        <v>1036000</v>
      </c>
      <c r="H360" s="96"/>
      <c r="I360" s="96"/>
      <c r="J360" s="96"/>
      <c r="K360" s="96"/>
      <c r="L360" s="96"/>
      <c r="M360" s="96"/>
    </row>
    <row r="361" spans="1:13" s="97" customFormat="1" x14ac:dyDescent="0.25">
      <c r="A361" s="91"/>
      <c r="B361" s="61"/>
      <c r="C361" s="92" t="s">
        <v>188</v>
      </c>
      <c r="D361" s="92">
        <v>7000</v>
      </c>
      <c r="E361" s="92">
        <f>248/6</f>
        <v>41.333333333333336</v>
      </c>
      <c r="F361" s="92">
        <v>2</v>
      </c>
      <c r="G361" s="93">
        <f t="shared" si="43"/>
        <v>578666.66666666674</v>
      </c>
      <c r="H361" s="96"/>
      <c r="I361" s="96"/>
      <c r="J361" s="96"/>
      <c r="K361" s="96"/>
      <c r="L361" s="96"/>
      <c r="M361" s="96"/>
    </row>
    <row r="362" spans="1:13" s="97" customFormat="1" x14ac:dyDescent="0.25">
      <c r="A362" s="91"/>
      <c r="B362" s="61"/>
      <c r="C362" s="92" t="s">
        <v>189</v>
      </c>
      <c r="D362" s="92">
        <v>7000</v>
      </c>
      <c r="E362" s="92">
        <f>310/6</f>
        <v>51.666666666666664</v>
      </c>
      <c r="F362" s="92">
        <v>2</v>
      </c>
      <c r="G362" s="93">
        <f t="shared" si="43"/>
        <v>723333.33333333326</v>
      </c>
      <c r="H362" s="96"/>
      <c r="I362" s="96"/>
      <c r="J362" s="96"/>
      <c r="K362" s="96"/>
      <c r="L362" s="96"/>
      <c r="M362" s="96"/>
    </row>
    <row r="363" spans="1:13" s="97" customFormat="1" x14ac:dyDescent="0.25">
      <c r="A363" s="91"/>
      <c r="B363" s="61"/>
      <c r="C363" s="92" t="s">
        <v>190</v>
      </c>
      <c r="D363" s="92">
        <v>7000</v>
      </c>
      <c r="E363" s="92">
        <f>528/6</f>
        <v>88</v>
      </c>
      <c r="F363" s="92">
        <v>2</v>
      </c>
      <c r="G363" s="93">
        <f t="shared" si="43"/>
        <v>1232000</v>
      </c>
      <c r="H363" s="96"/>
      <c r="I363" s="96"/>
      <c r="J363" s="96"/>
      <c r="K363" s="96"/>
      <c r="L363" s="96"/>
      <c r="M363" s="96"/>
    </row>
    <row r="364" spans="1:13" s="97" customFormat="1" x14ac:dyDescent="0.25">
      <c r="A364" s="91"/>
      <c r="B364" s="61"/>
      <c r="C364" s="92" t="s">
        <v>191</v>
      </c>
      <c r="D364" s="92">
        <v>7000</v>
      </c>
      <c r="E364" s="92">
        <f>342/6</f>
        <v>57</v>
      </c>
      <c r="F364" s="92">
        <v>2</v>
      </c>
      <c r="G364" s="93">
        <f t="shared" si="43"/>
        <v>798000</v>
      </c>
      <c r="H364" s="96"/>
      <c r="I364" s="96"/>
      <c r="J364" s="96"/>
      <c r="K364" s="96"/>
      <c r="L364" s="96"/>
      <c r="M364" s="96"/>
    </row>
    <row r="365" spans="1:13" s="97" customFormat="1" x14ac:dyDescent="0.25">
      <c r="A365" s="91"/>
      <c r="B365" s="61"/>
      <c r="C365" s="92" t="s">
        <v>192</v>
      </c>
      <c r="D365" s="92">
        <v>7000</v>
      </c>
      <c r="E365" s="92">
        <f>283/7</f>
        <v>40.428571428571431</v>
      </c>
      <c r="F365" s="92">
        <v>2</v>
      </c>
      <c r="G365" s="93">
        <f t="shared" si="43"/>
        <v>566000</v>
      </c>
      <c r="H365" s="96"/>
      <c r="I365" s="96"/>
      <c r="J365" s="96"/>
      <c r="K365" s="96"/>
      <c r="L365" s="96"/>
      <c r="M365" s="96"/>
    </row>
    <row r="366" spans="1:13" s="97" customFormat="1" x14ac:dyDescent="0.25">
      <c r="A366" s="91"/>
      <c r="B366" s="61"/>
      <c r="C366" s="92" t="s">
        <v>193</v>
      </c>
      <c r="D366" s="92">
        <v>7000</v>
      </c>
      <c r="E366" s="92">
        <f>474/7</f>
        <v>67.714285714285708</v>
      </c>
      <c r="F366" s="92">
        <v>2</v>
      </c>
      <c r="G366" s="93">
        <f t="shared" si="43"/>
        <v>947999.99999999988</v>
      </c>
      <c r="H366" s="96"/>
      <c r="I366" s="96"/>
      <c r="J366" s="96"/>
      <c r="K366" s="96"/>
      <c r="L366" s="96"/>
      <c r="M366" s="96"/>
    </row>
    <row r="367" spans="1:13" s="97" customFormat="1" x14ac:dyDescent="0.25">
      <c r="A367" s="91"/>
      <c r="B367" s="61"/>
      <c r="C367" s="92" t="s">
        <v>194</v>
      </c>
      <c r="D367" s="92">
        <v>7000</v>
      </c>
      <c r="E367" s="92">
        <f>608/7</f>
        <v>86.857142857142861</v>
      </c>
      <c r="F367" s="92">
        <v>2</v>
      </c>
      <c r="G367" s="93">
        <f t="shared" si="43"/>
        <v>1216000</v>
      </c>
      <c r="H367" s="96"/>
      <c r="I367" s="96"/>
      <c r="J367" s="96"/>
      <c r="K367" s="96"/>
      <c r="L367" s="96"/>
      <c r="M367" s="96"/>
    </row>
    <row r="368" spans="1:13" s="132" customFormat="1" x14ac:dyDescent="0.25">
      <c r="A368" s="91"/>
      <c r="B368" s="61"/>
      <c r="C368" s="92" t="s">
        <v>195</v>
      </c>
      <c r="D368" s="92">
        <v>7000</v>
      </c>
      <c r="E368" s="92">
        <f>137/6</f>
        <v>22.833333333333332</v>
      </c>
      <c r="F368" s="92">
        <v>4</v>
      </c>
      <c r="G368" s="93">
        <f t="shared" si="43"/>
        <v>639333.33333333326</v>
      </c>
      <c r="H368" s="131"/>
      <c r="I368" s="131"/>
      <c r="J368" s="131"/>
      <c r="K368" s="131"/>
      <c r="L368" s="131"/>
      <c r="M368" s="131"/>
    </row>
    <row r="369" spans="1:13" s="49" customFormat="1" x14ac:dyDescent="0.25">
      <c r="A369" s="91"/>
      <c r="C369" s="92"/>
      <c r="D369" s="92"/>
      <c r="E369" s="92"/>
      <c r="F369" s="92"/>
      <c r="G369" s="93"/>
      <c r="H369" s="48"/>
      <c r="I369" s="48"/>
      <c r="J369" s="48"/>
      <c r="K369" s="48"/>
      <c r="L369" s="48"/>
      <c r="M369" s="48"/>
    </row>
    <row r="370" spans="1:13" s="97" customFormat="1" x14ac:dyDescent="0.25">
      <c r="A370" s="139"/>
      <c r="B370" s="140"/>
      <c r="C370" s="128" t="s">
        <v>230</v>
      </c>
      <c r="D370" s="128">
        <f>7000</f>
        <v>7000</v>
      </c>
      <c r="E370" s="128">
        <v>20</v>
      </c>
      <c r="F370" s="128">
        <v>3</v>
      </c>
      <c r="G370" s="141">
        <f t="shared" ref="G370:G371" si="44">D370*E370*F370</f>
        <v>420000</v>
      </c>
      <c r="H370" s="96"/>
      <c r="I370" s="96"/>
      <c r="J370" s="96"/>
      <c r="K370" s="96"/>
      <c r="L370" s="96"/>
      <c r="M370" s="96"/>
    </row>
    <row r="371" spans="1:13" s="97" customFormat="1" x14ac:dyDescent="0.25">
      <c r="A371" s="139"/>
      <c r="B371" s="140"/>
      <c r="C371" s="128" t="s">
        <v>231</v>
      </c>
      <c r="D371" s="128">
        <v>1000000</v>
      </c>
      <c r="E371" s="128">
        <v>1</v>
      </c>
      <c r="F371" s="128">
        <v>3</v>
      </c>
      <c r="G371" s="141">
        <f t="shared" si="44"/>
        <v>3000000</v>
      </c>
      <c r="H371" s="96"/>
      <c r="I371" s="96"/>
      <c r="J371" s="96"/>
      <c r="K371" s="96"/>
      <c r="L371" s="96"/>
      <c r="M371" s="96"/>
    </row>
    <row r="372" spans="1:13" s="97" customFormat="1" x14ac:dyDescent="0.25">
      <c r="A372" s="139"/>
      <c r="B372" s="140"/>
      <c r="C372" s="128"/>
      <c r="D372" s="128"/>
      <c r="E372" s="128"/>
      <c r="F372" s="128"/>
      <c r="G372" s="141"/>
      <c r="H372" s="96"/>
      <c r="I372" s="96"/>
      <c r="J372" s="96"/>
      <c r="K372" s="96"/>
      <c r="L372" s="96"/>
      <c r="M372" s="96"/>
    </row>
    <row r="373" spans="1:13" s="97" customFormat="1" x14ac:dyDescent="0.25">
      <c r="A373" s="139"/>
      <c r="B373" s="140"/>
      <c r="C373" s="135" t="s">
        <v>97</v>
      </c>
      <c r="D373" s="128">
        <v>20000</v>
      </c>
      <c r="E373" s="128">
        <v>40</v>
      </c>
      <c r="F373" s="128">
        <v>3</v>
      </c>
      <c r="G373" s="141">
        <f>D373*E373*F373</f>
        <v>2400000</v>
      </c>
      <c r="H373" s="96"/>
      <c r="I373" s="96"/>
      <c r="J373" s="96"/>
      <c r="K373" s="96"/>
      <c r="L373" s="96"/>
      <c r="M373" s="96"/>
    </row>
    <row r="374" spans="1:13" s="97" customFormat="1" x14ac:dyDescent="0.25">
      <c r="A374" s="139"/>
      <c r="B374" s="140"/>
      <c r="C374" s="128" t="s">
        <v>60</v>
      </c>
      <c r="D374" s="128">
        <v>20000</v>
      </c>
      <c r="E374" s="128">
        <v>42</v>
      </c>
      <c r="F374" s="128">
        <v>1</v>
      </c>
      <c r="G374" s="141">
        <f t="shared" ref="G374:G376" si="45">D374*E374*F374</f>
        <v>840000</v>
      </c>
      <c r="H374" s="96"/>
      <c r="I374" s="96"/>
      <c r="J374" s="96"/>
      <c r="K374" s="96"/>
      <c r="L374" s="96"/>
      <c r="M374" s="96"/>
    </row>
    <row r="375" spans="1:13" s="97" customFormat="1" x14ac:dyDescent="0.25">
      <c r="A375" s="139"/>
      <c r="B375" s="140"/>
      <c r="C375" s="128" t="s">
        <v>138</v>
      </c>
      <c r="D375" s="128">
        <v>50000</v>
      </c>
      <c r="E375" s="128">
        <v>50</v>
      </c>
      <c r="F375" s="128">
        <v>1</v>
      </c>
      <c r="G375" s="141">
        <f t="shared" si="45"/>
        <v>2500000</v>
      </c>
      <c r="H375" s="96"/>
      <c r="I375" s="96"/>
      <c r="J375" s="96"/>
      <c r="K375" s="96"/>
      <c r="L375" s="96"/>
      <c r="M375" s="96"/>
    </row>
    <row r="376" spans="1:13" s="97" customFormat="1" x14ac:dyDescent="0.25">
      <c r="A376" s="139"/>
      <c r="B376" s="140"/>
      <c r="C376" s="128" t="s">
        <v>147</v>
      </c>
      <c r="D376" s="128">
        <v>40000</v>
      </c>
      <c r="E376" s="128">
        <v>7</v>
      </c>
      <c r="F376" s="128">
        <v>3</v>
      </c>
      <c r="G376" s="141">
        <f t="shared" si="45"/>
        <v>840000</v>
      </c>
      <c r="H376" s="96"/>
      <c r="I376" s="96"/>
      <c r="J376" s="96"/>
      <c r="K376" s="96"/>
      <c r="L376" s="96"/>
      <c r="M376" s="96"/>
    </row>
    <row r="377" spans="1:13" s="97" customFormat="1" ht="12" thickBot="1" x14ac:dyDescent="0.3">
      <c r="A377" s="139"/>
      <c r="B377" s="135"/>
      <c r="C377" s="128"/>
      <c r="D377" s="128"/>
      <c r="E377" s="128"/>
      <c r="F377" s="128"/>
      <c r="G377" s="141"/>
      <c r="H377" s="96"/>
      <c r="I377" s="96"/>
      <c r="J377" s="96"/>
      <c r="K377" s="96"/>
      <c r="L377" s="96"/>
      <c r="M377" s="96"/>
    </row>
    <row r="378" spans="1:13" s="49" customFormat="1" ht="12" thickBot="1" x14ac:dyDescent="0.3">
      <c r="A378" s="91"/>
      <c r="B378" s="120"/>
      <c r="C378" s="92" t="s">
        <v>140</v>
      </c>
      <c r="D378" s="92"/>
      <c r="E378" s="92"/>
      <c r="F378" s="92"/>
      <c r="G378" s="126">
        <f>SUM(G325:G377)</f>
        <v>102135666.66666666</v>
      </c>
      <c r="H378" s="127">
        <f>G378/8136</f>
        <v>12553.548017043591</v>
      </c>
      <c r="I378" s="48"/>
      <c r="J378" s="48"/>
      <c r="K378" s="48"/>
      <c r="L378" s="48"/>
      <c r="M378" s="48"/>
    </row>
    <row r="379" spans="1:13" s="49" customFormat="1" ht="12" thickBot="1" x14ac:dyDescent="0.3">
      <c r="A379" s="91"/>
      <c r="B379" s="120"/>
      <c r="C379" s="92"/>
      <c r="D379" s="92"/>
      <c r="E379" s="92"/>
      <c r="F379" s="92"/>
      <c r="G379" s="93"/>
      <c r="H379" s="48"/>
      <c r="I379" s="48"/>
      <c r="J379" s="48"/>
      <c r="K379" s="48"/>
      <c r="L379" s="48"/>
      <c r="M379" s="48"/>
    </row>
    <row r="380" spans="1:13" s="49" customFormat="1" ht="33.75" x14ac:dyDescent="0.25">
      <c r="A380" s="125">
        <v>1.8</v>
      </c>
      <c r="B380" s="116" t="s">
        <v>232</v>
      </c>
      <c r="C380" s="117" t="s">
        <v>39</v>
      </c>
      <c r="D380" s="117">
        <v>150000</v>
      </c>
      <c r="E380" s="117">
        <v>1</v>
      </c>
      <c r="F380" s="117">
        <v>1</v>
      </c>
      <c r="G380" s="118">
        <f t="shared" ref="G380" si="46">D380*E380*F380</f>
        <v>150000</v>
      </c>
      <c r="H380" s="48"/>
      <c r="I380" s="48"/>
      <c r="J380" s="48"/>
      <c r="K380" s="48"/>
      <c r="L380" s="48"/>
      <c r="M380" s="48"/>
    </row>
    <row r="381" spans="1:13" s="49" customFormat="1" x14ac:dyDescent="0.25">
      <c r="A381" s="91"/>
      <c r="B381" s="61" t="s">
        <v>233</v>
      </c>
      <c r="C381" s="92" t="s">
        <v>234</v>
      </c>
      <c r="D381" s="92">
        <v>40000</v>
      </c>
      <c r="E381" s="92">
        <v>7</v>
      </c>
      <c r="F381" s="92">
        <v>2</v>
      </c>
      <c r="G381" s="93">
        <f>D381*E381*F381</f>
        <v>560000</v>
      </c>
      <c r="H381" s="48"/>
      <c r="I381" s="48"/>
      <c r="J381" s="48"/>
      <c r="K381" s="48"/>
      <c r="L381" s="48"/>
      <c r="M381" s="48"/>
    </row>
    <row r="382" spans="1:13" s="97" customFormat="1" x14ac:dyDescent="0.25">
      <c r="A382" s="91"/>
      <c r="C382" s="92" t="s">
        <v>230</v>
      </c>
      <c r="D382" s="92">
        <f>7000</f>
        <v>7000</v>
      </c>
      <c r="E382" s="92">
        <v>10</v>
      </c>
      <c r="F382" s="92">
        <v>40</v>
      </c>
      <c r="G382" s="93">
        <f t="shared" ref="G382" si="47">D382*E382*F382</f>
        <v>2800000</v>
      </c>
      <c r="H382" s="96"/>
      <c r="I382" s="96"/>
      <c r="J382" s="96"/>
      <c r="K382" s="96"/>
      <c r="L382" s="96"/>
      <c r="M382" s="96"/>
    </row>
    <row r="383" spans="1:13" s="97" customFormat="1" x14ac:dyDescent="0.25">
      <c r="A383" s="91"/>
      <c r="B383" s="61"/>
      <c r="C383" s="120" t="s">
        <v>97</v>
      </c>
      <c r="D383" s="92">
        <v>20000</v>
      </c>
      <c r="E383" s="92">
        <v>25</v>
      </c>
      <c r="F383" s="92">
        <v>2</v>
      </c>
      <c r="G383" s="93">
        <f>D383*E383*F383</f>
        <v>1000000</v>
      </c>
      <c r="H383" s="96"/>
      <c r="I383" s="96"/>
      <c r="J383" s="96"/>
      <c r="K383" s="96"/>
      <c r="L383" s="96"/>
      <c r="M383" s="96"/>
    </row>
    <row r="384" spans="1:13" s="97" customFormat="1" x14ac:dyDescent="0.25">
      <c r="A384" s="91"/>
      <c r="B384" s="61"/>
      <c r="C384" s="92" t="s">
        <v>60</v>
      </c>
      <c r="D384" s="92">
        <v>20000</v>
      </c>
      <c r="E384" s="92">
        <v>25</v>
      </c>
      <c r="F384" s="92">
        <v>1</v>
      </c>
      <c r="G384" s="93">
        <f t="shared" ref="G384:G385" si="48">D384*E384*F384</f>
        <v>500000</v>
      </c>
      <c r="H384" s="96"/>
      <c r="I384" s="96"/>
      <c r="J384" s="96"/>
      <c r="K384" s="96"/>
      <c r="L384" s="96"/>
      <c r="M384" s="96"/>
    </row>
    <row r="385" spans="1:13" s="97" customFormat="1" x14ac:dyDescent="0.25">
      <c r="A385" s="91"/>
      <c r="B385" s="61"/>
      <c r="C385" s="92" t="s">
        <v>59</v>
      </c>
      <c r="D385" s="92">
        <v>50000</v>
      </c>
      <c r="E385" s="92">
        <v>12</v>
      </c>
      <c r="F385" s="92">
        <v>1</v>
      </c>
      <c r="G385" s="93">
        <f t="shared" si="48"/>
        <v>600000</v>
      </c>
      <c r="H385" s="96"/>
      <c r="I385" s="96"/>
      <c r="J385" s="96"/>
      <c r="K385" s="96"/>
      <c r="L385" s="96"/>
      <c r="M385" s="96"/>
    </row>
    <row r="386" spans="1:13" s="49" customFormat="1" ht="12" thickBot="1" x14ac:dyDescent="0.3">
      <c r="A386" s="91"/>
      <c r="B386" s="120"/>
      <c r="C386" s="92"/>
      <c r="D386" s="92"/>
      <c r="E386" s="92"/>
      <c r="F386" s="92"/>
      <c r="G386" s="93"/>
      <c r="H386" s="48"/>
      <c r="I386" s="48"/>
      <c r="J386" s="48"/>
      <c r="K386" s="48"/>
      <c r="L386" s="48"/>
      <c r="M386" s="48"/>
    </row>
    <row r="387" spans="1:13" s="49" customFormat="1" ht="12" thickBot="1" x14ac:dyDescent="0.3">
      <c r="A387" s="91"/>
      <c r="B387" s="120"/>
      <c r="C387" s="92" t="s">
        <v>140</v>
      </c>
      <c r="D387" s="92"/>
      <c r="E387" s="92"/>
      <c r="F387" s="92"/>
      <c r="G387" s="126">
        <f>SUM(G380:G386)</f>
        <v>5610000</v>
      </c>
      <c r="H387" s="127">
        <f>G387/8136</f>
        <v>689.52802359882003</v>
      </c>
      <c r="I387" s="48"/>
      <c r="J387" s="48"/>
      <c r="K387" s="48"/>
      <c r="L387" s="48"/>
      <c r="M387" s="48"/>
    </row>
    <row r="388" spans="1:13" s="49" customFormat="1" ht="12" thickBot="1" x14ac:dyDescent="0.3">
      <c r="A388" s="91"/>
      <c r="B388" s="120"/>
      <c r="C388" s="92"/>
      <c r="D388" s="92"/>
      <c r="E388" s="92"/>
      <c r="F388" s="92"/>
      <c r="G388" s="93"/>
      <c r="H388" s="48"/>
      <c r="I388" s="48"/>
      <c r="J388" s="48"/>
      <c r="K388" s="48"/>
      <c r="L388" s="48"/>
      <c r="M388" s="48"/>
    </row>
    <row r="389" spans="1:13" s="49" customFormat="1" ht="33.75" x14ac:dyDescent="0.25">
      <c r="A389" s="125">
        <v>1.9</v>
      </c>
      <c r="B389" s="116" t="s">
        <v>235</v>
      </c>
      <c r="C389" s="117" t="s">
        <v>39</v>
      </c>
      <c r="D389" s="117">
        <v>150000</v>
      </c>
      <c r="E389" s="117">
        <v>1</v>
      </c>
      <c r="F389" s="117">
        <v>1</v>
      </c>
      <c r="G389" s="118">
        <f t="shared" ref="G389" si="49">D389*E389*F389</f>
        <v>150000</v>
      </c>
      <c r="H389" s="48"/>
      <c r="I389" s="48"/>
      <c r="J389" s="48"/>
      <c r="K389" s="48"/>
      <c r="L389" s="48"/>
      <c r="M389" s="48"/>
    </row>
    <row r="390" spans="1:13" s="49" customFormat="1" x14ac:dyDescent="0.25">
      <c r="A390" s="91"/>
      <c r="B390" s="61" t="s">
        <v>233</v>
      </c>
      <c r="C390" s="92" t="s">
        <v>234</v>
      </c>
      <c r="D390" s="92">
        <v>40000</v>
      </c>
      <c r="E390" s="92">
        <v>7</v>
      </c>
      <c r="F390" s="92">
        <v>2</v>
      </c>
      <c r="G390" s="93">
        <f>D390*E390*F390</f>
        <v>560000</v>
      </c>
      <c r="H390" s="48"/>
      <c r="I390" s="48"/>
      <c r="J390" s="48"/>
      <c r="K390" s="48"/>
      <c r="L390" s="48"/>
      <c r="M390" s="48"/>
    </row>
    <row r="391" spans="1:13" s="97" customFormat="1" x14ac:dyDescent="0.25">
      <c r="A391" s="91"/>
      <c r="C391" s="92" t="s">
        <v>230</v>
      </c>
      <c r="D391" s="92">
        <f>7000</f>
        <v>7000</v>
      </c>
      <c r="E391" s="92">
        <v>10</v>
      </c>
      <c r="F391" s="92">
        <v>40</v>
      </c>
      <c r="G391" s="93">
        <f t="shared" ref="G391" si="50">D391*E391*F391</f>
        <v>2800000</v>
      </c>
      <c r="H391" s="96"/>
      <c r="I391" s="96"/>
      <c r="J391" s="96"/>
      <c r="K391" s="96"/>
      <c r="L391" s="96"/>
      <c r="M391" s="96"/>
    </row>
    <row r="392" spans="1:13" s="97" customFormat="1" x14ac:dyDescent="0.25">
      <c r="A392" s="91"/>
      <c r="B392" s="61"/>
      <c r="C392" s="120" t="s">
        <v>97</v>
      </c>
      <c r="D392" s="92">
        <v>20000</v>
      </c>
      <c r="E392" s="92">
        <v>25</v>
      </c>
      <c r="F392" s="92">
        <v>2</v>
      </c>
      <c r="G392" s="93">
        <f>D392*E392*F392</f>
        <v>1000000</v>
      </c>
      <c r="H392" s="96"/>
      <c r="I392" s="96"/>
      <c r="J392" s="96"/>
      <c r="K392" s="96"/>
      <c r="L392" s="96"/>
      <c r="M392" s="96"/>
    </row>
    <row r="393" spans="1:13" s="97" customFormat="1" x14ac:dyDescent="0.25">
      <c r="A393" s="91"/>
      <c r="B393" s="61"/>
      <c r="C393" s="92" t="s">
        <v>60</v>
      </c>
      <c r="D393" s="92">
        <v>20000</v>
      </c>
      <c r="E393" s="92">
        <v>25</v>
      </c>
      <c r="F393" s="92">
        <v>1</v>
      </c>
      <c r="G393" s="93">
        <f t="shared" ref="G393:G394" si="51">D393*E393*F393</f>
        <v>500000</v>
      </c>
      <c r="H393" s="96"/>
      <c r="I393" s="96"/>
      <c r="J393" s="96"/>
      <c r="K393" s="96"/>
      <c r="L393" s="96"/>
      <c r="M393" s="96"/>
    </row>
    <row r="394" spans="1:13" s="97" customFormat="1" x14ac:dyDescent="0.25">
      <c r="A394" s="91"/>
      <c r="B394" s="61"/>
      <c r="C394" s="92" t="s">
        <v>59</v>
      </c>
      <c r="D394" s="92">
        <v>50000</v>
      </c>
      <c r="E394" s="92">
        <v>12</v>
      </c>
      <c r="F394" s="92">
        <v>1</v>
      </c>
      <c r="G394" s="93">
        <f t="shared" si="51"/>
        <v>600000</v>
      </c>
      <c r="H394" s="96"/>
      <c r="I394" s="96"/>
      <c r="J394" s="96"/>
      <c r="K394" s="96"/>
      <c r="L394" s="96"/>
      <c r="M394" s="96"/>
    </row>
    <row r="395" spans="1:13" s="49" customFormat="1" ht="12" thickBot="1" x14ac:dyDescent="0.3">
      <c r="A395" s="91"/>
      <c r="B395" s="120"/>
      <c r="C395" s="92"/>
      <c r="D395" s="92"/>
      <c r="E395" s="92"/>
      <c r="F395" s="92"/>
      <c r="G395" s="93"/>
      <c r="H395" s="48"/>
      <c r="I395" s="48"/>
      <c r="J395" s="48"/>
      <c r="K395" s="48"/>
      <c r="L395" s="48"/>
      <c r="M395" s="48"/>
    </row>
    <row r="396" spans="1:13" s="49" customFormat="1" ht="12" thickBot="1" x14ac:dyDescent="0.3">
      <c r="A396" s="91"/>
      <c r="B396" s="120"/>
      <c r="C396" s="92" t="s">
        <v>140</v>
      </c>
      <c r="D396" s="92"/>
      <c r="E396" s="92"/>
      <c r="F396" s="92"/>
      <c r="G396" s="126">
        <f>SUM(G389:G395)</f>
        <v>5610000</v>
      </c>
      <c r="H396" s="127">
        <f>G396/8136</f>
        <v>689.52802359882003</v>
      </c>
      <c r="I396" s="48"/>
      <c r="J396" s="48"/>
      <c r="K396" s="48"/>
      <c r="L396" s="48"/>
      <c r="M396" s="48"/>
    </row>
    <row r="397" spans="1:13" s="49" customFormat="1" ht="12" thickBot="1" x14ac:dyDescent="0.3">
      <c r="A397" s="91"/>
      <c r="B397" s="120"/>
      <c r="C397" s="92"/>
      <c r="D397" s="92"/>
      <c r="E397" s="92"/>
      <c r="F397" s="92"/>
      <c r="G397" s="93"/>
      <c r="H397" s="48"/>
      <c r="I397" s="48"/>
      <c r="J397" s="48"/>
      <c r="K397" s="48"/>
      <c r="L397" s="48"/>
      <c r="M397" s="48"/>
    </row>
    <row r="398" spans="1:13" s="49" customFormat="1" ht="33.75" x14ac:dyDescent="0.25">
      <c r="A398" s="125">
        <v>1.1000000000000001</v>
      </c>
      <c r="B398" s="116" t="s">
        <v>236</v>
      </c>
      <c r="C398" s="117" t="s">
        <v>39</v>
      </c>
      <c r="D398" s="117">
        <v>150000</v>
      </c>
      <c r="E398" s="117">
        <v>1</v>
      </c>
      <c r="F398" s="117">
        <v>1</v>
      </c>
      <c r="G398" s="118">
        <f t="shared" ref="G398" si="52">D398*E398*F398</f>
        <v>150000</v>
      </c>
      <c r="H398" s="48"/>
      <c r="I398" s="48"/>
      <c r="J398" s="48"/>
      <c r="K398" s="48"/>
      <c r="L398" s="48"/>
      <c r="M398" s="48"/>
    </row>
    <row r="399" spans="1:13" s="49" customFormat="1" x14ac:dyDescent="0.25">
      <c r="A399" s="91"/>
      <c r="B399" s="61" t="s">
        <v>233</v>
      </c>
      <c r="C399" s="92" t="s">
        <v>234</v>
      </c>
      <c r="D399" s="92">
        <v>40000</v>
      </c>
      <c r="E399" s="92">
        <v>7</v>
      </c>
      <c r="F399" s="92">
        <v>2</v>
      </c>
      <c r="G399" s="93">
        <f>D399*E399*F399</f>
        <v>560000</v>
      </c>
      <c r="H399" s="48"/>
      <c r="I399" s="48"/>
      <c r="J399" s="48"/>
      <c r="K399" s="48"/>
      <c r="L399" s="48"/>
      <c r="M399" s="48"/>
    </row>
    <row r="400" spans="1:13" s="97" customFormat="1" x14ac:dyDescent="0.25">
      <c r="A400" s="91"/>
      <c r="C400" s="92" t="s">
        <v>230</v>
      </c>
      <c r="D400" s="92">
        <f>7000</f>
        <v>7000</v>
      </c>
      <c r="E400" s="92">
        <v>10</v>
      </c>
      <c r="F400" s="92">
        <v>40</v>
      </c>
      <c r="G400" s="93">
        <f t="shared" ref="G400" si="53">D400*E400*F400</f>
        <v>2800000</v>
      </c>
      <c r="H400" s="96"/>
      <c r="I400" s="96"/>
      <c r="J400" s="96"/>
      <c r="K400" s="96"/>
      <c r="L400" s="96"/>
      <c r="M400" s="96"/>
    </row>
    <row r="401" spans="1:13" s="97" customFormat="1" x14ac:dyDescent="0.25">
      <c r="A401" s="91"/>
      <c r="B401" s="61"/>
      <c r="C401" s="120" t="s">
        <v>97</v>
      </c>
      <c r="D401" s="92">
        <v>20000</v>
      </c>
      <c r="E401" s="92">
        <v>25</v>
      </c>
      <c r="F401" s="92">
        <v>2</v>
      </c>
      <c r="G401" s="93">
        <f>D401*E401*F401</f>
        <v>1000000</v>
      </c>
      <c r="H401" s="96"/>
      <c r="I401" s="96"/>
      <c r="J401" s="96"/>
      <c r="K401" s="96"/>
      <c r="L401" s="96"/>
      <c r="M401" s="96"/>
    </row>
    <row r="402" spans="1:13" s="97" customFormat="1" x14ac:dyDescent="0.25">
      <c r="A402" s="91"/>
      <c r="B402" s="61"/>
      <c r="C402" s="92" t="s">
        <v>60</v>
      </c>
      <c r="D402" s="92">
        <v>20000</v>
      </c>
      <c r="E402" s="92">
        <v>25</v>
      </c>
      <c r="F402" s="92">
        <v>1</v>
      </c>
      <c r="G402" s="93">
        <f t="shared" ref="G402:G403" si="54">D402*E402*F402</f>
        <v>500000</v>
      </c>
      <c r="H402" s="96"/>
      <c r="I402" s="96"/>
      <c r="J402" s="96"/>
      <c r="K402" s="96"/>
      <c r="L402" s="96"/>
      <c r="M402" s="96"/>
    </row>
    <row r="403" spans="1:13" s="97" customFormat="1" x14ac:dyDescent="0.25">
      <c r="A403" s="91"/>
      <c r="B403" s="61"/>
      <c r="C403" s="92" t="s">
        <v>59</v>
      </c>
      <c r="D403" s="92">
        <v>50000</v>
      </c>
      <c r="E403" s="92">
        <v>12</v>
      </c>
      <c r="F403" s="92">
        <v>1</v>
      </c>
      <c r="G403" s="93">
        <f t="shared" si="54"/>
        <v>600000</v>
      </c>
      <c r="H403" s="96"/>
      <c r="I403" s="96"/>
      <c r="J403" s="96"/>
      <c r="K403" s="96"/>
      <c r="L403" s="96"/>
      <c r="M403" s="96"/>
    </row>
    <row r="404" spans="1:13" s="49" customFormat="1" ht="12" thickBot="1" x14ac:dyDescent="0.3">
      <c r="A404" s="91"/>
      <c r="B404" s="120"/>
      <c r="C404" s="92"/>
      <c r="D404" s="92"/>
      <c r="E404" s="92"/>
      <c r="F404" s="92"/>
      <c r="G404" s="93"/>
      <c r="H404" s="48"/>
      <c r="I404" s="48"/>
      <c r="J404" s="48"/>
      <c r="K404" s="48"/>
      <c r="L404" s="48"/>
      <c r="M404" s="48"/>
    </row>
    <row r="405" spans="1:13" s="49" customFormat="1" ht="12" thickBot="1" x14ac:dyDescent="0.3">
      <c r="A405" s="91"/>
      <c r="B405" s="120"/>
      <c r="C405" s="92" t="s">
        <v>140</v>
      </c>
      <c r="D405" s="92"/>
      <c r="E405" s="92"/>
      <c r="F405" s="92"/>
      <c r="G405" s="126">
        <f>SUM(G398:G404)</f>
        <v>5610000</v>
      </c>
      <c r="H405" s="127">
        <f>G405/8136</f>
        <v>689.52802359882003</v>
      </c>
      <c r="I405" s="48"/>
      <c r="J405" s="48"/>
      <c r="K405" s="48"/>
      <c r="L405" s="48"/>
      <c r="M405" s="48"/>
    </row>
    <row r="406" spans="1:13" s="49" customFormat="1" ht="12" thickBot="1" x14ac:dyDescent="0.3">
      <c r="A406" s="91"/>
      <c r="B406" s="120"/>
      <c r="C406" s="92"/>
      <c r="D406" s="92"/>
      <c r="E406" s="92"/>
      <c r="F406" s="92"/>
      <c r="G406" s="93"/>
      <c r="H406" s="48"/>
      <c r="I406" s="48"/>
      <c r="J406" s="48"/>
      <c r="K406" s="48"/>
      <c r="L406" s="48"/>
      <c r="M406" s="48"/>
    </row>
    <row r="407" spans="1:13" s="49" customFormat="1" ht="22.5" x14ac:dyDescent="0.25">
      <c r="A407" s="125">
        <v>1.1100000000000001</v>
      </c>
      <c r="B407" s="116" t="s">
        <v>237</v>
      </c>
      <c r="C407" s="117" t="s">
        <v>39</v>
      </c>
      <c r="D407" s="117">
        <v>150000</v>
      </c>
      <c r="E407" s="117">
        <v>1</v>
      </c>
      <c r="F407" s="117">
        <v>1</v>
      </c>
      <c r="G407" s="118">
        <f t="shared" ref="G407" si="55">D407*E407*F407</f>
        <v>150000</v>
      </c>
      <c r="H407" s="96"/>
      <c r="I407" s="48"/>
      <c r="J407" s="48"/>
      <c r="K407" s="48"/>
      <c r="L407" s="48"/>
      <c r="M407" s="48"/>
    </row>
    <row r="408" spans="1:13" s="49" customFormat="1" x14ac:dyDescent="0.25">
      <c r="A408" s="91"/>
      <c r="B408" s="61" t="s">
        <v>146</v>
      </c>
      <c r="C408" s="92" t="s">
        <v>155</v>
      </c>
      <c r="D408" s="92">
        <v>170000</v>
      </c>
      <c r="E408" s="92">
        <v>1</v>
      </c>
      <c r="F408" s="92">
        <v>3</v>
      </c>
      <c r="G408" s="93">
        <f>D408*E408*F408</f>
        <v>510000</v>
      </c>
      <c r="H408" s="96"/>
      <c r="I408" s="48"/>
      <c r="J408" s="48"/>
      <c r="K408" s="48"/>
      <c r="L408" s="48"/>
      <c r="M408" s="48"/>
    </row>
    <row r="409" spans="1:13" s="49" customFormat="1" x14ac:dyDescent="0.25">
      <c r="A409" s="91"/>
      <c r="B409" s="61" t="s">
        <v>238</v>
      </c>
      <c r="C409" s="92" t="s">
        <v>157</v>
      </c>
      <c r="D409" s="92">
        <v>100000</v>
      </c>
      <c r="E409" s="92">
        <v>1</v>
      </c>
      <c r="F409" s="92">
        <v>4</v>
      </c>
      <c r="G409" s="93">
        <f t="shared" ref="G409" si="56">D409*E409*F409</f>
        <v>400000</v>
      </c>
      <c r="H409" s="96"/>
      <c r="I409" s="48"/>
      <c r="J409" s="48"/>
      <c r="K409" s="48"/>
      <c r="L409" s="48"/>
      <c r="M409" s="48"/>
    </row>
    <row r="410" spans="1:13" s="49" customFormat="1" x14ac:dyDescent="0.25">
      <c r="A410" s="91"/>
      <c r="B410" s="61" t="s">
        <v>239</v>
      </c>
      <c r="C410" s="92" t="s">
        <v>159</v>
      </c>
      <c r="D410" s="92">
        <v>150000</v>
      </c>
      <c r="E410" s="92">
        <v>1</v>
      </c>
      <c r="F410" s="92">
        <v>3</v>
      </c>
      <c r="G410" s="93">
        <f>D410*E410*F410</f>
        <v>450000</v>
      </c>
      <c r="H410" s="96"/>
      <c r="I410" s="48"/>
      <c r="J410" s="48"/>
      <c r="K410" s="48"/>
      <c r="L410" s="48"/>
      <c r="M410" s="48"/>
    </row>
    <row r="411" spans="1:13" s="49" customFormat="1" x14ac:dyDescent="0.25">
      <c r="A411" s="91"/>
      <c r="B411" s="130"/>
      <c r="C411" s="92" t="s">
        <v>160</v>
      </c>
      <c r="D411" s="92">
        <v>100000</v>
      </c>
      <c r="E411" s="92">
        <f>E410</f>
        <v>1</v>
      </c>
      <c r="F411" s="92">
        <v>4</v>
      </c>
      <c r="G411" s="93">
        <f t="shared" ref="G411:G415" si="57">D411*E411*F411</f>
        <v>400000</v>
      </c>
      <c r="H411" s="96"/>
      <c r="I411" s="48"/>
      <c r="J411" s="48"/>
      <c r="K411" s="48"/>
      <c r="L411" s="48"/>
      <c r="M411" s="48"/>
    </row>
    <row r="412" spans="1:13" s="49" customFormat="1" ht="33.75" x14ac:dyDescent="0.25">
      <c r="A412" s="91"/>
      <c r="B412" s="130"/>
      <c r="C412" s="120" t="s">
        <v>161</v>
      </c>
      <c r="D412" s="92">
        <f>D410</f>
        <v>150000</v>
      </c>
      <c r="E412" s="92">
        <v>5</v>
      </c>
      <c r="F412" s="92">
        <v>3</v>
      </c>
      <c r="G412" s="93">
        <f t="shared" si="57"/>
        <v>2250000</v>
      </c>
      <c r="H412" s="96"/>
      <c r="I412" s="48"/>
      <c r="J412" s="48"/>
      <c r="K412" s="48"/>
      <c r="L412" s="48"/>
      <c r="M412" s="48"/>
    </row>
    <row r="413" spans="1:13" s="49" customFormat="1" ht="33.75" x14ac:dyDescent="0.25">
      <c r="A413" s="91"/>
      <c r="C413" s="120" t="s">
        <v>162</v>
      </c>
      <c r="D413" s="92">
        <v>100000</v>
      </c>
      <c r="E413" s="92">
        <f>E412</f>
        <v>5</v>
      </c>
      <c r="F413" s="92">
        <v>4</v>
      </c>
      <c r="G413" s="93">
        <f t="shared" si="57"/>
        <v>2000000</v>
      </c>
      <c r="H413" s="96"/>
      <c r="I413" s="48"/>
      <c r="J413" s="48"/>
      <c r="K413" s="48"/>
      <c r="L413" s="142"/>
      <c r="M413" s="48" t="s">
        <v>240</v>
      </c>
    </row>
    <row r="414" spans="1:13" s="49" customFormat="1" x14ac:dyDescent="0.25">
      <c r="A414" s="91"/>
      <c r="C414" s="92" t="s">
        <v>163</v>
      </c>
      <c r="D414" s="92">
        <f>D412</f>
        <v>150000</v>
      </c>
      <c r="E414" s="92">
        <v>2</v>
      </c>
      <c r="F414" s="92">
        <v>3</v>
      </c>
      <c r="G414" s="93">
        <f t="shared" si="57"/>
        <v>900000</v>
      </c>
      <c r="H414" s="96"/>
      <c r="I414" s="48"/>
      <c r="J414" s="48"/>
      <c r="K414" s="48"/>
      <c r="L414" s="48"/>
      <c r="M414" s="48"/>
    </row>
    <row r="415" spans="1:13" s="49" customFormat="1" x14ac:dyDescent="0.25">
      <c r="A415" s="91"/>
      <c r="C415" s="92" t="s">
        <v>164</v>
      </c>
      <c r="D415" s="92">
        <v>100000</v>
      </c>
      <c r="E415" s="92">
        <v>2</v>
      </c>
      <c r="F415" s="92">
        <v>4</v>
      </c>
      <c r="G415" s="93">
        <f t="shared" si="57"/>
        <v>800000</v>
      </c>
      <c r="H415" s="96"/>
      <c r="I415" s="48"/>
      <c r="J415" s="48"/>
      <c r="K415" s="48"/>
      <c r="L415" s="48"/>
      <c r="M415" s="48"/>
    </row>
    <row r="416" spans="1:13" s="49" customFormat="1" x14ac:dyDescent="0.25">
      <c r="A416" s="91"/>
      <c r="C416" s="92"/>
      <c r="D416" s="92"/>
      <c r="E416" s="92"/>
      <c r="F416" s="92"/>
      <c r="G416" s="93"/>
      <c r="H416" s="96"/>
      <c r="I416" s="48"/>
      <c r="J416" s="48"/>
      <c r="K416" s="48"/>
      <c r="L416" s="48"/>
      <c r="M416" s="48"/>
    </row>
    <row r="417" spans="1:13" s="49" customFormat="1" x14ac:dyDescent="0.25">
      <c r="A417" s="91"/>
      <c r="C417" s="92" t="s">
        <v>165</v>
      </c>
      <c r="D417" s="92">
        <f>D414</f>
        <v>150000</v>
      </c>
      <c r="E417" s="92">
        <v>5</v>
      </c>
      <c r="F417" s="92">
        <v>3</v>
      </c>
      <c r="G417" s="93">
        <f t="shared" ref="G417:G420" si="58">D417*E417*F417</f>
        <v>2250000</v>
      </c>
      <c r="H417" s="96"/>
      <c r="I417" s="48"/>
      <c r="J417" s="48"/>
      <c r="K417" s="48"/>
      <c r="L417" s="48"/>
      <c r="M417" s="48"/>
    </row>
    <row r="418" spans="1:13" s="49" customFormat="1" x14ac:dyDescent="0.25">
      <c r="A418" s="91"/>
      <c r="C418" s="92" t="s">
        <v>166</v>
      </c>
      <c r="D418" s="92">
        <v>100000</v>
      </c>
      <c r="E418" s="92">
        <f>E417</f>
        <v>5</v>
      </c>
      <c r="F418" s="92">
        <v>4</v>
      </c>
      <c r="G418" s="93">
        <f t="shared" si="58"/>
        <v>2000000</v>
      </c>
      <c r="H418" s="96"/>
      <c r="I418" s="48"/>
      <c r="J418" s="48"/>
      <c r="K418" s="48"/>
      <c r="L418" s="48"/>
      <c r="M418" s="48"/>
    </row>
    <row r="419" spans="1:13" s="49" customFormat="1" x14ac:dyDescent="0.25">
      <c r="A419" s="91"/>
      <c r="C419" s="92" t="s">
        <v>167</v>
      </c>
      <c r="D419" s="92">
        <f>D417</f>
        <v>150000</v>
      </c>
      <c r="E419" s="92">
        <v>1</v>
      </c>
      <c r="F419" s="92">
        <v>3</v>
      </c>
      <c r="G419" s="93">
        <f t="shared" si="58"/>
        <v>450000</v>
      </c>
      <c r="H419" s="93"/>
      <c r="I419" s="92"/>
      <c r="J419" s="96"/>
      <c r="K419" s="96"/>
      <c r="L419" s="48"/>
      <c r="M419" s="48"/>
    </row>
    <row r="420" spans="1:13" s="49" customFormat="1" x14ac:dyDescent="0.25">
      <c r="A420" s="91"/>
      <c r="C420" s="92" t="s">
        <v>168</v>
      </c>
      <c r="D420" s="92">
        <v>100000</v>
      </c>
      <c r="E420" s="92">
        <f>E419</f>
        <v>1</v>
      </c>
      <c r="F420" s="92">
        <v>4</v>
      </c>
      <c r="G420" s="93">
        <f t="shared" si="58"/>
        <v>400000</v>
      </c>
      <c r="H420" s="96"/>
      <c r="I420" s="120"/>
      <c r="J420" s="96"/>
      <c r="K420" s="96"/>
      <c r="L420" s="48"/>
      <c r="M420" s="48"/>
    </row>
    <row r="421" spans="1:13" s="49" customFormat="1" x14ac:dyDescent="0.25">
      <c r="A421" s="91"/>
      <c r="C421" s="92"/>
      <c r="D421" s="92"/>
      <c r="E421" s="92"/>
      <c r="F421" s="92"/>
      <c r="G421" s="93"/>
      <c r="H421" s="96"/>
      <c r="I421" s="96"/>
      <c r="J421" s="96"/>
      <c r="K421" s="96"/>
      <c r="L421" s="48"/>
      <c r="M421" s="48"/>
    </row>
    <row r="422" spans="1:13" s="49" customFormat="1" x14ac:dyDescent="0.25">
      <c r="A422" s="91"/>
      <c r="C422" s="92" t="s">
        <v>169</v>
      </c>
      <c r="D422" s="92">
        <f>D419</f>
        <v>150000</v>
      </c>
      <c r="E422" s="92">
        <f>3*2</f>
        <v>6</v>
      </c>
      <c r="F422" s="92">
        <v>5</v>
      </c>
      <c r="G422" s="93">
        <f t="shared" ref="G422:G425" si="59">D422*E422*F422</f>
        <v>4500000</v>
      </c>
      <c r="H422" s="96"/>
      <c r="I422" s="96"/>
      <c r="J422" s="96"/>
      <c r="K422" s="96"/>
      <c r="L422" s="48"/>
      <c r="M422" s="48"/>
    </row>
    <row r="423" spans="1:13" s="49" customFormat="1" x14ac:dyDescent="0.25">
      <c r="A423" s="91"/>
      <c r="C423" s="92" t="s">
        <v>170</v>
      </c>
      <c r="D423" s="92">
        <v>100000</v>
      </c>
      <c r="E423" s="92">
        <f>E422</f>
        <v>6</v>
      </c>
      <c r="F423" s="92">
        <v>6</v>
      </c>
      <c r="G423" s="93">
        <f t="shared" si="59"/>
        <v>3600000</v>
      </c>
      <c r="H423" s="96"/>
      <c r="I423" s="92"/>
      <c r="J423" s="96"/>
      <c r="K423" s="96"/>
      <c r="L423" s="48"/>
      <c r="M423" s="48"/>
    </row>
    <row r="424" spans="1:13" s="49" customFormat="1" x14ac:dyDescent="0.25">
      <c r="A424" s="91"/>
      <c r="C424" s="92" t="s">
        <v>171</v>
      </c>
      <c r="D424" s="92">
        <f>D419</f>
        <v>150000</v>
      </c>
      <c r="E424" s="92">
        <f>3*1</f>
        <v>3</v>
      </c>
      <c r="F424" s="92">
        <v>5</v>
      </c>
      <c r="G424" s="93">
        <f t="shared" si="59"/>
        <v>2250000</v>
      </c>
      <c r="H424" s="96"/>
      <c r="I424" s="96"/>
      <c r="J424" s="96"/>
      <c r="K424" s="96"/>
      <c r="L424" s="48"/>
      <c r="M424" s="48"/>
    </row>
    <row r="425" spans="1:13" s="49" customFormat="1" x14ac:dyDescent="0.25">
      <c r="A425" s="91"/>
      <c r="C425" s="92" t="s">
        <v>172</v>
      </c>
      <c r="D425" s="92">
        <v>100000</v>
      </c>
      <c r="E425" s="92">
        <f>E424</f>
        <v>3</v>
      </c>
      <c r="F425" s="92">
        <v>6</v>
      </c>
      <c r="G425" s="93">
        <f t="shared" si="59"/>
        <v>1800000</v>
      </c>
      <c r="H425" s="96"/>
      <c r="I425" s="96"/>
      <c r="J425" s="96"/>
      <c r="K425" s="96"/>
      <c r="L425" s="48"/>
      <c r="M425" s="48"/>
    </row>
    <row r="426" spans="1:13" s="49" customFormat="1" x14ac:dyDescent="0.25">
      <c r="A426" s="91"/>
      <c r="C426" s="92"/>
      <c r="D426" s="92"/>
      <c r="E426" s="92"/>
      <c r="F426" s="92"/>
      <c r="G426" s="93"/>
      <c r="H426" s="96"/>
      <c r="I426" s="96"/>
      <c r="J426" s="96"/>
      <c r="K426" s="143"/>
      <c r="L426" s="48"/>
      <c r="M426" s="48"/>
    </row>
    <row r="427" spans="1:13" s="49" customFormat="1" x14ac:dyDescent="0.25">
      <c r="A427" s="91"/>
      <c r="C427" s="92"/>
      <c r="D427" s="92"/>
      <c r="E427" s="92"/>
      <c r="F427" s="92"/>
      <c r="G427" s="93"/>
      <c r="H427" s="96"/>
      <c r="I427" s="96"/>
      <c r="J427" s="96"/>
      <c r="K427" s="96"/>
      <c r="L427" s="48"/>
      <c r="M427" s="48"/>
    </row>
    <row r="428" spans="1:13" s="49" customFormat="1" x14ac:dyDescent="0.25">
      <c r="A428" s="91"/>
      <c r="C428" s="92" t="s">
        <v>173</v>
      </c>
      <c r="D428" s="92">
        <f>D424</f>
        <v>150000</v>
      </c>
      <c r="E428" s="92">
        <f>13*2</f>
        <v>26</v>
      </c>
      <c r="F428" s="92">
        <v>4</v>
      </c>
      <c r="G428" s="93">
        <f t="shared" ref="G428:G431" si="60">D428*E428*F428</f>
        <v>15600000</v>
      </c>
      <c r="H428" s="96"/>
      <c r="I428" s="96"/>
      <c r="J428" s="96"/>
      <c r="K428" s="96"/>
      <c r="L428" s="48"/>
      <c r="M428" s="48"/>
    </row>
    <row r="429" spans="1:13" s="49" customFormat="1" x14ac:dyDescent="0.25">
      <c r="A429" s="91"/>
      <c r="C429" s="92" t="s">
        <v>174</v>
      </c>
      <c r="D429" s="92">
        <v>100000</v>
      </c>
      <c r="E429" s="92">
        <f>E428</f>
        <v>26</v>
      </c>
      <c r="F429" s="92">
        <v>5</v>
      </c>
      <c r="G429" s="93">
        <f t="shared" si="60"/>
        <v>13000000</v>
      </c>
      <c r="H429" s="96"/>
      <c r="I429" s="96"/>
      <c r="J429" s="96"/>
      <c r="K429" s="96"/>
      <c r="L429" s="48"/>
      <c r="M429" s="48"/>
    </row>
    <row r="430" spans="1:13" s="49" customFormat="1" x14ac:dyDescent="0.25">
      <c r="A430" s="91"/>
      <c r="C430" s="92" t="s">
        <v>175</v>
      </c>
      <c r="D430" s="92">
        <f>D428</f>
        <v>150000</v>
      </c>
      <c r="E430" s="92">
        <f>13*1</f>
        <v>13</v>
      </c>
      <c r="F430" s="92">
        <v>4</v>
      </c>
      <c r="G430" s="93">
        <f t="shared" si="60"/>
        <v>7800000</v>
      </c>
      <c r="H430" s="96"/>
      <c r="I430" s="96"/>
      <c r="J430" s="96"/>
      <c r="K430" s="96"/>
      <c r="L430" s="48"/>
      <c r="M430" s="48"/>
    </row>
    <row r="431" spans="1:13" s="49" customFormat="1" x14ac:dyDescent="0.25">
      <c r="A431" s="91"/>
      <c r="C431" s="92" t="s">
        <v>176</v>
      </c>
      <c r="D431" s="92">
        <v>100000</v>
      </c>
      <c r="E431" s="92">
        <f>E430</f>
        <v>13</v>
      </c>
      <c r="F431" s="92">
        <v>5</v>
      </c>
      <c r="G431" s="93">
        <f t="shared" si="60"/>
        <v>6500000</v>
      </c>
      <c r="H431" s="96"/>
      <c r="I431" s="96"/>
      <c r="J431" s="96"/>
      <c r="K431" s="96"/>
      <c r="L431" s="48"/>
      <c r="M431" s="48"/>
    </row>
    <row r="432" spans="1:13" s="49" customFormat="1" x14ac:dyDescent="0.25">
      <c r="A432" s="91"/>
      <c r="C432" s="92"/>
      <c r="D432" s="92"/>
      <c r="E432" s="92"/>
      <c r="F432" s="92"/>
      <c r="G432" s="93"/>
      <c r="H432" s="96"/>
      <c r="I432" s="96"/>
      <c r="J432" s="96"/>
      <c r="K432" s="96"/>
      <c r="L432" s="48"/>
      <c r="M432" s="48"/>
    </row>
    <row r="433" spans="1:13" s="132" customFormat="1" x14ac:dyDescent="0.25">
      <c r="A433" s="91"/>
      <c r="B433" s="61"/>
      <c r="C433" s="92" t="s">
        <v>177</v>
      </c>
      <c r="D433" s="92">
        <v>7000</v>
      </c>
      <c r="E433" s="92">
        <f>137/6</f>
        <v>22.833333333333332</v>
      </c>
      <c r="F433" s="92">
        <v>2</v>
      </c>
      <c r="G433" s="93">
        <f t="shared" ref="G433:G453" si="61">D433*E433*F433</f>
        <v>319666.66666666663</v>
      </c>
      <c r="H433" s="131"/>
      <c r="I433" s="131"/>
      <c r="J433" s="131"/>
      <c r="K433" s="131"/>
      <c r="L433" s="131"/>
      <c r="M433" s="131"/>
    </row>
    <row r="434" spans="1:13" s="132" customFormat="1" x14ac:dyDescent="0.25">
      <c r="A434" s="91"/>
      <c r="B434" s="61"/>
      <c r="C434" s="92" t="s">
        <v>178</v>
      </c>
      <c r="D434" s="92">
        <v>7000</v>
      </c>
      <c r="E434" s="92">
        <f>61/6</f>
        <v>10.166666666666666</v>
      </c>
      <c r="F434" s="92">
        <v>2</v>
      </c>
      <c r="G434" s="93">
        <f t="shared" si="61"/>
        <v>142333.33333333331</v>
      </c>
      <c r="H434" s="131"/>
      <c r="I434" s="131"/>
      <c r="J434" s="131"/>
      <c r="K434" s="131"/>
      <c r="L434" s="131"/>
      <c r="M434" s="131"/>
    </row>
    <row r="435" spans="1:13" s="97" customFormat="1" x14ac:dyDescent="0.25">
      <c r="A435" s="91"/>
      <c r="B435" s="61"/>
      <c r="C435" s="92" t="s">
        <v>179</v>
      </c>
      <c r="D435" s="92">
        <v>7000</v>
      </c>
      <c r="E435" s="92">
        <f>757/6</f>
        <v>126.16666666666667</v>
      </c>
      <c r="F435" s="92">
        <v>2</v>
      </c>
      <c r="G435" s="93">
        <f t="shared" si="61"/>
        <v>1766333.3333333335</v>
      </c>
      <c r="H435" s="96"/>
      <c r="I435" s="96"/>
      <c r="J435" s="96"/>
      <c r="K435" s="96"/>
      <c r="L435" s="96"/>
      <c r="M435" s="96"/>
    </row>
    <row r="436" spans="1:13" s="97" customFormat="1" x14ac:dyDescent="0.25">
      <c r="A436" s="91"/>
      <c r="B436" s="61"/>
      <c r="C436" s="92" t="s">
        <v>180</v>
      </c>
      <c r="D436" s="92">
        <v>7000</v>
      </c>
      <c r="E436" s="92">
        <f>680/6</f>
        <v>113.33333333333333</v>
      </c>
      <c r="F436" s="92">
        <v>2</v>
      </c>
      <c r="G436" s="93">
        <f t="shared" si="61"/>
        <v>1586666.6666666665</v>
      </c>
      <c r="H436" s="96"/>
      <c r="I436" s="96"/>
      <c r="J436" s="96"/>
      <c r="K436" s="96"/>
      <c r="L436" s="96"/>
      <c r="M436" s="96"/>
    </row>
    <row r="437" spans="1:13" s="97" customFormat="1" x14ac:dyDescent="0.25">
      <c r="A437" s="91"/>
      <c r="B437" s="61"/>
      <c r="C437" s="92" t="s">
        <v>181</v>
      </c>
      <c r="D437" s="92">
        <v>7000</v>
      </c>
      <c r="E437" s="92">
        <f>568/6</f>
        <v>94.666666666666671</v>
      </c>
      <c r="F437" s="92">
        <v>2</v>
      </c>
      <c r="G437" s="93">
        <f t="shared" si="61"/>
        <v>1325333.3333333335</v>
      </c>
      <c r="H437" s="96"/>
      <c r="I437" s="96"/>
      <c r="J437" s="96"/>
      <c r="K437" s="96"/>
      <c r="L437" s="96"/>
      <c r="M437" s="96"/>
    </row>
    <row r="438" spans="1:13" s="97" customFormat="1" x14ac:dyDescent="0.25">
      <c r="A438" s="91"/>
      <c r="B438" s="61"/>
      <c r="C438" s="92" t="s">
        <v>182</v>
      </c>
      <c r="D438" s="92">
        <v>7000</v>
      </c>
      <c r="E438" s="92">
        <f>768/6</f>
        <v>128</v>
      </c>
      <c r="F438" s="92">
        <v>2</v>
      </c>
      <c r="G438" s="93">
        <f t="shared" si="61"/>
        <v>1792000</v>
      </c>
      <c r="H438" s="96"/>
      <c r="I438" s="96"/>
      <c r="J438" s="96"/>
      <c r="K438" s="96"/>
      <c r="L438" s="96"/>
      <c r="M438" s="96"/>
    </row>
    <row r="439" spans="1:13" s="97" customFormat="1" x14ac:dyDescent="0.25">
      <c r="A439" s="91"/>
      <c r="B439" s="61"/>
      <c r="C439" s="92" t="s">
        <v>183</v>
      </c>
      <c r="D439" s="92">
        <v>7000</v>
      </c>
      <c r="E439" s="92">
        <f>1024/7</f>
        <v>146.28571428571428</v>
      </c>
      <c r="F439" s="92">
        <v>2</v>
      </c>
      <c r="G439" s="93">
        <f t="shared" si="61"/>
        <v>2048000</v>
      </c>
      <c r="H439" s="96"/>
      <c r="I439" s="96"/>
      <c r="J439" s="96"/>
      <c r="K439" s="96"/>
      <c r="L439" s="96"/>
      <c r="M439" s="96"/>
    </row>
    <row r="440" spans="1:13" s="97" customFormat="1" x14ac:dyDescent="0.25">
      <c r="A440" s="91"/>
      <c r="B440" s="61"/>
      <c r="C440" s="92" t="s">
        <v>184</v>
      </c>
      <c r="D440" s="92">
        <v>7000</v>
      </c>
      <c r="E440" s="92">
        <f>812/7</f>
        <v>116</v>
      </c>
      <c r="F440" s="92">
        <v>2</v>
      </c>
      <c r="G440" s="93">
        <f t="shared" si="61"/>
        <v>1624000</v>
      </c>
      <c r="H440" s="96"/>
      <c r="I440" s="96"/>
      <c r="J440" s="96"/>
      <c r="K440" s="96"/>
      <c r="L440" s="96"/>
      <c r="M440" s="96"/>
    </row>
    <row r="441" spans="1:13" s="97" customFormat="1" x14ac:dyDescent="0.25">
      <c r="A441" s="91"/>
      <c r="B441" s="61"/>
      <c r="C441" s="92" t="s">
        <v>185</v>
      </c>
      <c r="D441" s="92">
        <v>7000</v>
      </c>
      <c r="E441" s="92">
        <f>817/7</f>
        <v>116.71428571428571</v>
      </c>
      <c r="F441" s="92">
        <v>2</v>
      </c>
      <c r="G441" s="93">
        <f t="shared" si="61"/>
        <v>1634000</v>
      </c>
      <c r="H441" s="96"/>
      <c r="I441" s="96"/>
      <c r="J441" s="96"/>
      <c r="K441" s="96"/>
      <c r="L441" s="96"/>
      <c r="M441" s="96"/>
    </row>
    <row r="442" spans="1:13" s="97" customFormat="1" x14ac:dyDescent="0.25">
      <c r="A442" s="91"/>
      <c r="B442" s="61"/>
      <c r="C442" s="92" t="s">
        <v>186</v>
      </c>
      <c r="D442" s="92">
        <v>7000</v>
      </c>
      <c r="E442" s="92">
        <f>940/7</f>
        <v>134.28571428571428</v>
      </c>
      <c r="F442" s="92">
        <v>2</v>
      </c>
      <c r="G442" s="93">
        <f t="shared" si="61"/>
        <v>1880000</v>
      </c>
      <c r="H442" s="96"/>
      <c r="I442" s="96"/>
      <c r="J442" s="96"/>
      <c r="K442" s="96"/>
      <c r="L442" s="96"/>
      <c r="M442" s="96"/>
    </row>
    <row r="443" spans="1:13" s="97" customFormat="1" x14ac:dyDescent="0.25">
      <c r="A443" s="91"/>
      <c r="B443" s="61"/>
      <c r="C443" s="92" t="s">
        <v>187</v>
      </c>
      <c r="D443" s="92">
        <v>7000</v>
      </c>
      <c r="E443" s="92">
        <f>444/6</f>
        <v>74</v>
      </c>
      <c r="F443" s="92">
        <v>2</v>
      </c>
      <c r="G443" s="93">
        <f t="shared" si="61"/>
        <v>1036000</v>
      </c>
      <c r="H443" s="96"/>
      <c r="I443" s="96"/>
      <c r="J443" s="96"/>
      <c r="K443" s="96"/>
      <c r="L443" s="96"/>
      <c r="M443" s="96"/>
    </row>
    <row r="444" spans="1:13" s="97" customFormat="1" x14ac:dyDescent="0.25">
      <c r="A444" s="91"/>
      <c r="B444" s="61"/>
      <c r="C444" s="92" t="s">
        <v>188</v>
      </c>
      <c r="D444" s="92">
        <v>7000</v>
      </c>
      <c r="E444" s="92">
        <f>248/6</f>
        <v>41.333333333333336</v>
      </c>
      <c r="F444" s="92">
        <v>2</v>
      </c>
      <c r="G444" s="93">
        <f t="shared" si="61"/>
        <v>578666.66666666674</v>
      </c>
      <c r="H444" s="96"/>
      <c r="I444" s="96"/>
      <c r="J444" s="96"/>
      <c r="K444" s="96"/>
      <c r="L444" s="96"/>
      <c r="M444" s="96"/>
    </row>
    <row r="445" spans="1:13" s="97" customFormat="1" x14ac:dyDescent="0.25">
      <c r="A445" s="91"/>
      <c r="B445" s="61"/>
      <c r="C445" s="92" t="s">
        <v>189</v>
      </c>
      <c r="D445" s="92">
        <v>7000</v>
      </c>
      <c r="E445" s="92">
        <f>310/6</f>
        <v>51.666666666666664</v>
      </c>
      <c r="F445" s="92">
        <v>2</v>
      </c>
      <c r="G445" s="93">
        <f t="shared" si="61"/>
        <v>723333.33333333326</v>
      </c>
      <c r="H445" s="96"/>
      <c r="I445" s="96"/>
      <c r="J445" s="96"/>
      <c r="K445" s="96"/>
      <c r="L445" s="96"/>
      <c r="M445" s="96"/>
    </row>
    <row r="446" spans="1:13" s="97" customFormat="1" x14ac:dyDescent="0.25">
      <c r="A446" s="91"/>
      <c r="B446" s="61"/>
      <c r="C446" s="92" t="s">
        <v>190</v>
      </c>
      <c r="D446" s="92">
        <v>7000</v>
      </c>
      <c r="E446" s="92">
        <f>528/6</f>
        <v>88</v>
      </c>
      <c r="F446" s="92">
        <v>2</v>
      </c>
      <c r="G446" s="93">
        <f t="shared" si="61"/>
        <v>1232000</v>
      </c>
      <c r="H446" s="96"/>
      <c r="I446" s="96"/>
      <c r="J446" s="96"/>
      <c r="K446" s="96"/>
      <c r="L446" s="96"/>
      <c r="M446" s="96"/>
    </row>
    <row r="447" spans="1:13" s="97" customFormat="1" x14ac:dyDescent="0.25">
      <c r="A447" s="91"/>
      <c r="B447" s="61"/>
      <c r="C447" s="92" t="s">
        <v>191</v>
      </c>
      <c r="D447" s="92">
        <v>7000</v>
      </c>
      <c r="E447" s="92">
        <f>342/6</f>
        <v>57</v>
      </c>
      <c r="F447" s="92">
        <v>2</v>
      </c>
      <c r="G447" s="93">
        <f t="shared" si="61"/>
        <v>798000</v>
      </c>
      <c r="H447" s="96"/>
      <c r="I447" s="96"/>
      <c r="J447" s="96"/>
      <c r="K447" s="96"/>
      <c r="L447" s="96"/>
      <c r="M447" s="96"/>
    </row>
    <row r="448" spans="1:13" s="97" customFormat="1" x14ac:dyDescent="0.25">
      <c r="A448" s="91"/>
      <c r="B448" s="61"/>
      <c r="C448" s="92" t="s">
        <v>192</v>
      </c>
      <c r="D448" s="92">
        <v>7000</v>
      </c>
      <c r="E448" s="92">
        <f>283/7</f>
        <v>40.428571428571431</v>
      </c>
      <c r="F448" s="92">
        <v>2</v>
      </c>
      <c r="G448" s="93">
        <f t="shared" si="61"/>
        <v>566000</v>
      </c>
      <c r="H448" s="96"/>
      <c r="I448" s="96"/>
      <c r="J448" s="96"/>
      <c r="K448" s="96"/>
      <c r="L448" s="96"/>
      <c r="M448" s="96"/>
    </row>
    <row r="449" spans="1:13" s="97" customFormat="1" x14ac:dyDescent="0.25">
      <c r="A449" s="91"/>
      <c r="B449" s="61"/>
      <c r="C449" s="92" t="s">
        <v>193</v>
      </c>
      <c r="D449" s="92">
        <v>7000</v>
      </c>
      <c r="E449" s="92">
        <f>474/7</f>
        <v>67.714285714285708</v>
      </c>
      <c r="F449" s="92">
        <v>2</v>
      </c>
      <c r="G449" s="93">
        <f t="shared" si="61"/>
        <v>947999.99999999988</v>
      </c>
      <c r="H449" s="96"/>
      <c r="I449" s="96"/>
      <c r="J449" s="96"/>
      <c r="K449" s="96"/>
      <c r="L449" s="96"/>
      <c r="M449" s="96"/>
    </row>
    <row r="450" spans="1:13" s="97" customFormat="1" x14ac:dyDescent="0.25">
      <c r="A450" s="91"/>
      <c r="B450" s="61"/>
      <c r="C450" s="92" t="s">
        <v>194</v>
      </c>
      <c r="D450" s="92">
        <v>7000</v>
      </c>
      <c r="E450" s="92">
        <f>608/7</f>
        <v>86.857142857142861</v>
      </c>
      <c r="F450" s="92">
        <v>2</v>
      </c>
      <c r="G450" s="93">
        <f t="shared" si="61"/>
        <v>1216000</v>
      </c>
      <c r="H450" s="96"/>
      <c r="I450" s="96"/>
      <c r="J450" s="96"/>
      <c r="K450" s="96"/>
      <c r="L450" s="96"/>
      <c r="M450" s="96"/>
    </row>
    <row r="451" spans="1:13" s="132" customFormat="1" x14ac:dyDescent="0.25">
      <c r="A451" s="91"/>
      <c r="B451" s="61"/>
      <c r="C451" s="92" t="s">
        <v>195</v>
      </c>
      <c r="D451" s="92">
        <v>7000</v>
      </c>
      <c r="E451" s="92">
        <f>137/6</f>
        <v>22.833333333333332</v>
      </c>
      <c r="F451" s="92">
        <v>4</v>
      </c>
      <c r="G451" s="93">
        <f t="shared" si="61"/>
        <v>639333.33333333326</v>
      </c>
      <c r="H451" s="131"/>
      <c r="I451" s="131"/>
      <c r="J451" s="131"/>
      <c r="K451" s="131"/>
      <c r="L451" s="131"/>
      <c r="M451" s="131"/>
    </row>
    <row r="452" spans="1:13" s="97" customFormat="1" x14ac:dyDescent="0.25">
      <c r="A452" s="91"/>
      <c r="B452" s="61"/>
      <c r="C452" s="92" t="s">
        <v>241</v>
      </c>
      <c r="D452" s="92">
        <f>7000</f>
        <v>7000</v>
      </c>
      <c r="E452" s="92">
        <v>20</v>
      </c>
      <c r="F452" s="92">
        <v>3</v>
      </c>
      <c r="G452" s="93">
        <f t="shared" si="61"/>
        <v>420000</v>
      </c>
      <c r="H452" s="96"/>
      <c r="I452" s="96"/>
      <c r="J452" s="96"/>
      <c r="K452" s="96"/>
      <c r="L452" s="96"/>
      <c r="M452" s="96"/>
    </row>
    <row r="453" spans="1:13" s="97" customFormat="1" x14ac:dyDescent="0.25">
      <c r="A453" s="91"/>
      <c r="B453" s="61"/>
      <c r="C453" s="92" t="s">
        <v>242</v>
      </c>
      <c r="D453" s="92">
        <f>7000</f>
        <v>7000</v>
      </c>
      <c r="E453" s="92">
        <v>180</v>
      </c>
      <c r="F453" s="92">
        <v>2</v>
      </c>
      <c r="G453" s="93">
        <f t="shared" si="61"/>
        <v>2520000</v>
      </c>
      <c r="H453" s="96"/>
      <c r="I453" s="96"/>
      <c r="J453" s="96"/>
      <c r="K453" s="96"/>
      <c r="L453" s="96"/>
      <c r="M453" s="96"/>
    </row>
    <row r="454" spans="1:13" s="97" customFormat="1" x14ac:dyDescent="0.25">
      <c r="A454" s="91"/>
      <c r="B454" s="61"/>
      <c r="C454" s="92"/>
      <c r="D454" s="92"/>
      <c r="E454" s="92"/>
      <c r="F454" s="92"/>
      <c r="G454" s="93"/>
      <c r="H454" s="96"/>
      <c r="I454" s="96"/>
      <c r="J454" s="96"/>
      <c r="K454" s="96"/>
      <c r="L454" s="96"/>
      <c r="M454" s="96"/>
    </row>
    <row r="455" spans="1:13" s="97" customFormat="1" x14ac:dyDescent="0.25">
      <c r="A455" s="91"/>
      <c r="B455" s="61"/>
      <c r="C455" s="120" t="s">
        <v>231</v>
      </c>
      <c r="D455" s="92">
        <v>1000000</v>
      </c>
      <c r="E455" s="92">
        <v>1</v>
      </c>
      <c r="F455" s="92">
        <v>3</v>
      </c>
      <c r="G455" s="93">
        <f>D455*E455*F455</f>
        <v>3000000</v>
      </c>
      <c r="H455" s="96"/>
      <c r="I455" s="96"/>
      <c r="J455" s="96"/>
      <c r="K455" s="96"/>
      <c r="L455" s="96"/>
      <c r="M455" s="96"/>
    </row>
    <row r="456" spans="1:13" s="97" customFormat="1" x14ac:dyDescent="0.25">
      <c r="A456" s="91"/>
      <c r="B456" s="61"/>
      <c r="C456" s="120" t="s">
        <v>97</v>
      </c>
      <c r="D456" s="92">
        <v>20000</v>
      </c>
      <c r="E456" s="92">
        <v>40</v>
      </c>
      <c r="F456" s="92">
        <v>3</v>
      </c>
      <c r="G456" s="93">
        <f>D456*E456*F456</f>
        <v>2400000</v>
      </c>
      <c r="H456" s="96"/>
      <c r="I456" s="96"/>
      <c r="J456" s="96"/>
      <c r="K456" s="96"/>
      <c r="L456" s="96"/>
      <c r="M456" s="96"/>
    </row>
    <row r="457" spans="1:13" s="97" customFormat="1" x14ac:dyDescent="0.25">
      <c r="A457" s="91"/>
      <c r="B457" s="61"/>
      <c r="C457" s="92" t="s">
        <v>60</v>
      </c>
      <c r="D457" s="92">
        <v>20000</v>
      </c>
      <c r="E457" s="92">
        <v>38</v>
      </c>
      <c r="F457" s="92">
        <v>1</v>
      </c>
      <c r="G457" s="93">
        <f t="shared" ref="G457:G459" si="62">D457*E457*F457</f>
        <v>760000</v>
      </c>
      <c r="H457" s="96"/>
      <c r="I457" s="96"/>
      <c r="J457" s="96"/>
      <c r="K457" s="96"/>
      <c r="L457" s="96"/>
      <c r="M457" s="96"/>
    </row>
    <row r="458" spans="1:13" s="97" customFormat="1" x14ac:dyDescent="0.25">
      <c r="A458" s="91"/>
      <c r="B458" s="61"/>
      <c r="C458" s="92" t="s">
        <v>138</v>
      </c>
      <c r="D458" s="92">
        <v>50000</v>
      </c>
      <c r="E458" s="92">
        <v>37</v>
      </c>
      <c r="F458" s="92">
        <v>1</v>
      </c>
      <c r="G458" s="93">
        <f t="shared" si="62"/>
        <v>1850000</v>
      </c>
      <c r="H458" s="96"/>
      <c r="I458" s="96"/>
      <c r="J458" s="96"/>
      <c r="K458" s="96"/>
      <c r="L458" s="96"/>
      <c r="M458" s="96"/>
    </row>
    <row r="459" spans="1:13" s="97" customFormat="1" x14ac:dyDescent="0.25">
      <c r="A459" s="91"/>
      <c r="B459" s="61"/>
      <c r="C459" s="92" t="s">
        <v>147</v>
      </c>
      <c r="D459" s="92">
        <v>40000</v>
      </c>
      <c r="E459" s="92">
        <v>7</v>
      </c>
      <c r="F459" s="92">
        <v>3</v>
      </c>
      <c r="G459" s="93">
        <f t="shared" si="62"/>
        <v>840000</v>
      </c>
      <c r="H459" s="96"/>
      <c r="I459" s="96"/>
      <c r="J459" s="96"/>
      <c r="K459" s="96"/>
      <c r="L459" s="96"/>
      <c r="M459" s="96"/>
    </row>
    <row r="460" spans="1:13" s="49" customFormat="1" ht="12" thickBot="1" x14ac:dyDescent="0.3">
      <c r="A460" s="91"/>
      <c r="B460" s="120"/>
      <c r="C460" s="92"/>
      <c r="D460" s="92"/>
      <c r="E460" s="92"/>
      <c r="F460" s="92"/>
      <c r="G460" s="93"/>
      <c r="H460" s="96"/>
      <c r="I460" s="48"/>
      <c r="J460" s="48"/>
      <c r="K460" s="48"/>
      <c r="L460" s="48"/>
      <c r="M460" s="48"/>
    </row>
    <row r="461" spans="1:13" s="49" customFormat="1" ht="12" thickBot="1" x14ac:dyDescent="0.3">
      <c r="A461" s="91"/>
      <c r="B461" s="120"/>
      <c r="C461" s="92" t="s">
        <v>140</v>
      </c>
      <c r="D461" s="92"/>
      <c r="E461" s="92"/>
      <c r="F461" s="92"/>
      <c r="G461" s="126">
        <f>SUM(G407:G460)</f>
        <v>101655666.66666666</v>
      </c>
      <c r="H461" s="127">
        <f>G461/8136</f>
        <v>12494.550966896099</v>
      </c>
      <c r="I461" s="48"/>
      <c r="J461" s="48"/>
      <c r="K461" s="48"/>
      <c r="L461" s="48"/>
      <c r="M461" s="48"/>
    </row>
    <row r="462" spans="1:13" s="49" customFormat="1" x14ac:dyDescent="0.25">
      <c r="A462" s="91"/>
      <c r="B462" s="120"/>
      <c r="C462" s="92"/>
      <c r="D462" s="92"/>
      <c r="E462" s="92"/>
      <c r="F462" s="92"/>
      <c r="G462" s="93"/>
      <c r="H462" s="96"/>
      <c r="I462" s="48"/>
      <c r="J462" s="48"/>
      <c r="K462" s="48"/>
      <c r="L462" s="48"/>
      <c r="M462" s="48"/>
    </row>
    <row r="463" spans="1:13" s="49" customFormat="1" ht="12" thickBot="1" x14ac:dyDescent="0.3">
      <c r="A463" s="144"/>
      <c r="B463" s="145"/>
      <c r="C463" s="145"/>
      <c r="D463" s="146"/>
      <c r="E463" s="146"/>
      <c r="F463" s="146"/>
      <c r="G463" s="147"/>
      <c r="H463" s="96"/>
      <c r="I463" s="48"/>
      <c r="J463" s="48"/>
      <c r="K463" s="48"/>
      <c r="L463" s="48"/>
      <c r="M463" s="48"/>
    </row>
    <row r="464" spans="1:13" s="49" customFormat="1" ht="22.5" x14ac:dyDescent="0.25">
      <c r="A464" s="125">
        <v>1.1200000000000001</v>
      </c>
      <c r="B464" s="116" t="s">
        <v>243</v>
      </c>
      <c r="C464" s="117" t="s">
        <v>39</v>
      </c>
      <c r="D464" s="117"/>
      <c r="E464" s="117"/>
      <c r="F464" s="117"/>
      <c r="G464" s="118">
        <f t="shared" ref="G464" si="63">D464*E464*F464</f>
        <v>0</v>
      </c>
      <c r="H464" s="96"/>
      <c r="I464" s="48"/>
      <c r="J464" s="48"/>
      <c r="K464" s="48"/>
      <c r="L464" s="48"/>
      <c r="M464" s="48"/>
    </row>
    <row r="465" spans="1:13" s="49" customFormat="1" ht="33.75" x14ac:dyDescent="0.25">
      <c r="A465" s="91"/>
      <c r="B465" s="61" t="s">
        <v>146</v>
      </c>
      <c r="C465" s="120" t="s">
        <v>244</v>
      </c>
      <c r="D465" s="92">
        <v>150000</v>
      </c>
      <c r="E465" s="92">
        <v>4</v>
      </c>
      <c r="F465" s="92">
        <v>5</v>
      </c>
      <c r="G465" s="93">
        <f>F465*E465*D465</f>
        <v>3000000</v>
      </c>
      <c r="H465" s="96"/>
      <c r="I465" s="48"/>
      <c r="J465" s="48"/>
      <c r="K465" s="48"/>
      <c r="L465" s="48"/>
      <c r="M465" s="48"/>
    </row>
    <row r="466" spans="1:13" s="49" customFormat="1" ht="33.75" x14ac:dyDescent="0.25">
      <c r="A466" s="91"/>
      <c r="B466" s="61" t="s">
        <v>245</v>
      </c>
      <c r="C466" s="120" t="s">
        <v>246</v>
      </c>
      <c r="D466" s="92">
        <v>100000</v>
      </c>
      <c r="E466" s="92">
        <v>4</v>
      </c>
      <c r="F466" s="92">
        <v>6</v>
      </c>
      <c r="G466" s="93">
        <f t="shared" ref="G466:G468" si="64">D466*E466*F466</f>
        <v>2400000</v>
      </c>
      <c r="H466" s="96"/>
      <c r="I466" s="48"/>
      <c r="J466" s="48"/>
      <c r="K466" s="48"/>
      <c r="L466" s="142"/>
      <c r="M466" s="48" t="s">
        <v>240</v>
      </c>
    </row>
    <row r="467" spans="1:13" s="49" customFormat="1" x14ac:dyDescent="0.25">
      <c r="A467" s="91"/>
      <c r="B467" s="61">
        <v>40</v>
      </c>
      <c r="C467" s="92" t="s">
        <v>163</v>
      </c>
      <c r="D467" s="92">
        <f>D465</f>
        <v>150000</v>
      </c>
      <c r="E467" s="92">
        <v>1</v>
      </c>
      <c r="F467" s="92">
        <v>5</v>
      </c>
      <c r="G467" s="93">
        <f t="shared" si="64"/>
        <v>750000</v>
      </c>
      <c r="H467" s="96"/>
      <c r="I467" s="48"/>
      <c r="J467" s="48"/>
      <c r="K467" s="48"/>
      <c r="L467" s="48"/>
      <c r="M467" s="48"/>
    </row>
    <row r="468" spans="1:13" s="49" customFormat="1" x14ac:dyDescent="0.25">
      <c r="A468" s="91"/>
      <c r="C468" s="92" t="s">
        <v>164</v>
      </c>
      <c r="D468" s="92">
        <v>100000</v>
      </c>
      <c r="E468" s="92">
        <v>1</v>
      </c>
      <c r="F468" s="92">
        <v>6</v>
      </c>
      <c r="G468" s="93">
        <f t="shared" si="64"/>
        <v>600000</v>
      </c>
      <c r="H468" s="96"/>
      <c r="I468" s="48"/>
      <c r="J468" s="48"/>
      <c r="K468" s="48"/>
      <c r="L468" s="48"/>
      <c r="M468" s="48"/>
    </row>
    <row r="469" spans="1:13" s="49" customFormat="1" x14ac:dyDescent="0.25">
      <c r="A469" s="91"/>
      <c r="C469" s="92"/>
      <c r="D469" s="92"/>
      <c r="E469" s="92"/>
      <c r="F469" s="92"/>
      <c r="G469" s="93"/>
      <c r="H469" s="96"/>
      <c r="I469" s="48"/>
      <c r="J469" s="48"/>
      <c r="K469" s="48"/>
      <c r="L469" s="48"/>
      <c r="M469" s="48"/>
    </row>
    <row r="470" spans="1:13" s="49" customFormat="1" x14ac:dyDescent="0.25">
      <c r="A470" s="91"/>
      <c r="C470" s="92" t="s">
        <v>247</v>
      </c>
      <c r="D470" s="92">
        <v>100000</v>
      </c>
      <c r="E470" s="92">
        <f>3*1</f>
        <v>3</v>
      </c>
      <c r="F470" s="92">
        <v>3</v>
      </c>
      <c r="G470" s="93">
        <f t="shared" ref="G470:G471" si="65">D470*E470*F470</f>
        <v>900000</v>
      </c>
      <c r="H470" s="96"/>
      <c r="I470" s="48"/>
      <c r="J470" s="48"/>
      <c r="K470" s="48"/>
      <c r="L470" s="48"/>
      <c r="M470" s="48"/>
    </row>
    <row r="471" spans="1:13" s="49" customFormat="1" x14ac:dyDescent="0.25">
      <c r="A471" s="91"/>
      <c r="C471" s="92" t="s">
        <v>248</v>
      </c>
      <c r="D471" s="92">
        <v>100000</v>
      </c>
      <c r="E471" s="92">
        <v>3</v>
      </c>
      <c r="F471" s="92">
        <v>3</v>
      </c>
      <c r="G471" s="93">
        <f t="shared" si="65"/>
        <v>900000</v>
      </c>
      <c r="H471" s="96"/>
      <c r="I471" s="48"/>
      <c r="J471" s="48"/>
      <c r="K471" s="48"/>
      <c r="L471" s="48"/>
      <c r="M471" s="48"/>
    </row>
    <row r="472" spans="1:13" s="49" customFormat="1" x14ac:dyDescent="0.25">
      <c r="A472" s="91"/>
      <c r="C472" s="92"/>
      <c r="D472" s="92"/>
      <c r="E472" s="92"/>
      <c r="F472" s="92"/>
      <c r="G472" s="93"/>
      <c r="H472" s="96"/>
      <c r="I472" s="48"/>
      <c r="J472" s="48"/>
      <c r="K472" s="48"/>
      <c r="L472" s="48"/>
      <c r="M472" s="48"/>
    </row>
    <row r="473" spans="1:13" s="97" customFormat="1" x14ac:dyDescent="0.25">
      <c r="A473" s="91"/>
      <c r="B473" s="61"/>
      <c r="C473" s="92" t="s">
        <v>249</v>
      </c>
      <c r="D473" s="92">
        <v>7000</v>
      </c>
      <c r="E473" s="92">
        <v>97</v>
      </c>
      <c r="F473" s="92">
        <v>1</v>
      </c>
      <c r="G473" s="93">
        <v>677833</v>
      </c>
      <c r="H473" s="96"/>
      <c r="I473" s="96"/>
      <c r="J473" s="96"/>
      <c r="K473" s="96"/>
      <c r="L473" s="96"/>
      <c r="M473" s="96"/>
    </row>
    <row r="474" spans="1:13" s="49" customFormat="1" x14ac:dyDescent="0.25">
      <c r="A474" s="91"/>
      <c r="B474" s="61"/>
      <c r="C474" s="92" t="s">
        <v>250</v>
      </c>
      <c r="D474" s="92">
        <v>7000</v>
      </c>
      <c r="E474" s="92">
        <v>21</v>
      </c>
      <c r="F474" s="92">
        <v>1</v>
      </c>
      <c r="G474" s="93">
        <v>144667</v>
      </c>
      <c r="H474" s="96"/>
      <c r="I474" s="48"/>
      <c r="J474" s="48"/>
      <c r="K474" s="48"/>
      <c r="L474" s="48"/>
      <c r="M474" s="48"/>
    </row>
    <row r="475" spans="1:13" s="49" customFormat="1" x14ac:dyDescent="0.25">
      <c r="A475" s="91"/>
      <c r="B475" s="61"/>
      <c r="C475" s="92" t="s">
        <v>251</v>
      </c>
      <c r="D475" s="92">
        <v>7000</v>
      </c>
      <c r="E475" s="92">
        <v>32</v>
      </c>
      <c r="F475" s="92">
        <v>1</v>
      </c>
      <c r="G475" s="93">
        <v>220500</v>
      </c>
      <c r="H475" s="96"/>
      <c r="I475" s="48"/>
      <c r="J475" s="48"/>
      <c r="K475" s="48"/>
      <c r="L475" s="48"/>
      <c r="M475" s="48"/>
    </row>
    <row r="476" spans="1:13" s="97" customFormat="1" x14ac:dyDescent="0.25">
      <c r="A476" s="91"/>
      <c r="B476" s="61"/>
      <c r="C476" s="92" t="s">
        <v>252</v>
      </c>
      <c r="D476" s="92">
        <v>7000</v>
      </c>
      <c r="E476" s="92">
        <v>149</v>
      </c>
      <c r="F476" s="92">
        <v>1</v>
      </c>
      <c r="G476" s="93">
        <v>1043000</v>
      </c>
      <c r="H476" s="96"/>
      <c r="I476" s="96"/>
      <c r="J476" s="96"/>
      <c r="K476" s="96"/>
      <c r="L476" s="96"/>
      <c r="M476" s="96"/>
    </row>
    <row r="477" spans="1:13" s="97" customFormat="1" x14ac:dyDescent="0.25">
      <c r="A477" s="91"/>
      <c r="B477" s="61"/>
      <c r="C477" s="92"/>
      <c r="D477" s="92"/>
      <c r="E477" s="92"/>
      <c r="F477" s="92"/>
      <c r="G477" s="93"/>
      <c r="H477" s="96"/>
      <c r="I477" s="96"/>
      <c r="J477" s="96"/>
      <c r="K477" s="96"/>
      <c r="L477" s="96"/>
      <c r="M477" s="96"/>
    </row>
    <row r="478" spans="1:13" s="97" customFormat="1" x14ac:dyDescent="0.25">
      <c r="A478" s="91"/>
      <c r="B478" s="61"/>
      <c r="C478" s="120" t="s">
        <v>97</v>
      </c>
      <c r="D478" s="92">
        <v>20000</v>
      </c>
      <c r="E478" s="92">
        <v>54</v>
      </c>
      <c r="F478" s="92">
        <v>3</v>
      </c>
      <c r="G478" s="93">
        <f>D478*E478*F478</f>
        <v>3240000</v>
      </c>
      <c r="H478" s="96"/>
      <c r="I478" s="96"/>
      <c r="J478" s="96"/>
      <c r="K478" s="96"/>
      <c r="L478" s="96"/>
      <c r="M478" s="96"/>
    </row>
    <row r="479" spans="1:13" s="97" customFormat="1" x14ac:dyDescent="0.25">
      <c r="A479" s="91"/>
      <c r="B479" s="61"/>
      <c r="C479" s="92" t="s">
        <v>60</v>
      </c>
      <c r="D479" s="92">
        <v>20000</v>
      </c>
      <c r="E479" s="92">
        <v>53</v>
      </c>
      <c r="F479" s="92">
        <v>1</v>
      </c>
      <c r="G479" s="93">
        <f t="shared" ref="G479:G480" si="66">D479*E479*F479</f>
        <v>1060000</v>
      </c>
      <c r="H479" s="96"/>
      <c r="I479" s="96"/>
      <c r="J479" s="96"/>
      <c r="K479" s="96"/>
      <c r="L479" s="96"/>
      <c r="M479" s="96"/>
    </row>
    <row r="480" spans="1:13" s="97" customFormat="1" x14ac:dyDescent="0.25">
      <c r="A480" s="91"/>
      <c r="B480" s="61"/>
      <c r="C480" s="92" t="s">
        <v>253</v>
      </c>
      <c r="D480" s="92">
        <v>50000</v>
      </c>
      <c r="E480" s="92">
        <v>1</v>
      </c>
      <c r="F480" s="92">
        <v>1</v>
      </c>
      <c r="G480" s="93">
        <f t="shared" si="66"/>
        <v>50000</v>
      </c>
      <c r="H480" s="96"/>
      <c r="I480" s="96"/>
      <c r="J480" s="96"/>
      <c r="K480" s="96"/>
      <c r="L480" s="96"/>
      <c r="M480" s="96"/>
    </row>
    <row r="481" spans="1:13" s="97" customFormat="1" x14ac:dyDescent="0.25">
      <c r="A481" s="91"/>
      <c r="B481" s="120"/>
      <c r="C481" s="92" t="s">
        <v>254</v>
      </c>
      <c r="D481" s="148">
        <v>10</v>
      </c>
      <c r="E481" s="148">
        <v>3</v>
      </c>
      <c r="F481" s="148">
        <v>7000</v>
      </c>
      <c r="G481" s="149">
        <f>D481*F481*E481</f>
        <v>210000</v>
      </c>
      <c r="H481" s="96"/>
      <c r="I481" s="96"/>
      <c r="J481" s="96"/>
      <c r="K481" s="96"/>
      <c r="L481" s="96"/>
      <c r="M481" s="96"/>
    </row>
    <row r="482" spans="1:13" s="49" customFormat="1" ht="12" thickBot="1" x14ac:dyDescent="0.3">
      <c r="A482" s="91"/>
      <c r="B482" s="120"/>
      <c r="C482" s="92" t="s">
        <v>140</v>
      </c>
      <c r="D482" s="92"/>
      <c r="E482" s="92"/>
      <c r="F482" s="92"/>
      <c r="G482" s="150">
        <f>SUM(G464:G481)</f>
        <v>15196000</v>
      </c>
      <c r="H482" s="127">
        <f>G482/8136</f>
        <v>1867.7482792527039</v>
      </c>
      <c r="I482" s="48"/>
      <c r="J482" s="48"/>
      <c r="K482" s="48"/>
      <c r="L482" s="48"/>
      <c r="M482" s="48"/>
    </row>
    <row r="483" spans="1:13" s="49" customFormat="1" x14ac:dyDescent="0.25">
      <c r="A483" s="91"/>
      <c r="B483" s="120"/>
      <c r="C483" s="92"/>
      <c r="D483" s="92"/>
      <c r="E483" s="92"/>
      <c r="F483" s="92"/>
      <c r="G483" s="93"/>
      <c r="H483" s="96"/>
      <c r="I483" s="48"/>
      <c r="J483" s="48"/>
      <c r="K483" s="48"/>
      <c r="L483" s="48"/>
      <c r="M483" s="48"/>
    </row>
    <row r="484" spans="1:13" s="155" customFormat="1" x14ac:dyDescent="0.25">
      <c r="A484" s="151">
        <v>1.1299999999999999</v>
      </c>
      <c r="B484" s="152" t="s">
        <v>255</v>
      </c>
      <c r="C484" s="153" t="s">
        <v>256</v>
      </c>
      <c r="D484" s="149">
        <v>32100</v>
      </c>
      <c r="E484" s="148" t="s">
        <v>257</v>
      </c>
      <c r="F484" s="148">
        <v>1000</v>
      </c>
      <c r="G484" s="149">
        <f>D484*F484</f>
        <v>32100000</v>
      </c>
      <c r="H484" s="154"/>
    </row>
    <row r="485" spans="1:13" x14ac:dyDescent="0.25">
      <c r="B485" s="156"/>
      <c r="C485" s="157" t="s">
        <v>258</v>
      </c>
      <c r="D485" s="149">
        <v>10000</v>
      </c>
      <c r="E485" s="148" t="s">
        <v>257</v>
      </c>
      <c r="F485" s="148">
        <v>3000</v>
      </c>
      <c r="G485" s="149">
        <f>D485*F485</f>
        <v>30000000</v>
      </c>
      <c r="H485" s="96"/>
    </row>
    <row r="486" spans="1:13" ht="22.5" x14ac:dyDescent="0.25">
      <c r="B486" s="156"/>
      <c r="C486" s="157" t="s">
        <v>259</v>
      </c>
      <c r="D486" s="149">
        <v>3</v>
      </c>
      <c r="E486" s="148">
        <v>230</v>
      </c>
      <c r="F486" s="148">
        <v>50000</v>
      </c>
      <c r="G486" s="149">
        <f>D486*E486*F486</f>
        <v>34500000</v>
      </c>
      <c r="H486" s="48"/>
    </row>
    <row r="487" spans="1:13" ht="22.5" x14ac:dyDescent="0.25">
      <c r="B487" s="156"/>
      <c r="C487" s="157" t="s">
        <v>260</v>
      </c>
      <c r="D487" s="158">
        <v>1.5</v>
      </c>
      <c r="E487" s="148">
        <v>200</v>
      </c>
      <c r="F487" s="148">
        <v>40000</v>
      </c>
      <c r="G487" s="149">
        <f>D487*E487*F487</f>
        <v>12000000</v>
      </c>
      <c r="H487" s="48"/>
    </row>
    <row r="488" spans="1:13" x14ac:dyDescent="0.25">
      <c r="B488" s="156"/>
      <c r="H488" s="48"/>
    </row>
    <row r="489" spans="1:13" ht="12" thickBot="1" x14ac:dyDescent="0.3">
      <c r="B489" s="156"/>
      <c r="C489" s="92" t="s">
        <v>140</v>
      </c>
      <c r="D489" s="92"/>
      <c r="E489" s="92"/>
      <c r="F489" s="92"/>
      <c r="G489" s="127">
        <f>G484+G485+G486+G487</f>
        <v>108600000</v>
      </c>
      <c r="H489" s="127">
        <f>G489/8136</f>
        <v>13348.082595870206</v>
      </c>
    </row>
    <row r="490" spans="1:13" ht="12" thickBot="1" x14ac:dyDescent="0.3">
      <c r="B490" s="156"/>
      <c r="C490" s="92"/>
      <c r="D490" s="92"/>
      <c r="E490" s="92"/>
      <c r="F490" s="92"/>
      <c r="G490" s="159"/>
      <c r="H490" s="48"/>
    </row>
    <row r="491" spans="1:13" s="165" customFormat="1" x14ac:dyDescent="0.25">
      <c r="A491" s="160">
        <v>1.1399999999999999</v>
      </c>
      <c r="B491" s="161" t="s">
        <v>261</v>
      </c>
      <c r="C491" s="162" t="s">
        <v>262</v>
      </c>
      <c r="D491" s="163">
        <v>48</v>
      </c>
      <c r="E491" s="164">
        <v>2</v>
      </c>
      <c r="F491" s="164">
        <v>50000</v>
      </c>
      <c r="G491" s="163">
        <f>D491*E491*F491</f>
        <v>4800000</v>
      </c>
    </row>
    <row r="492" spans="1:13" x14ac:dyDescent="0.25">
      <c r="B492" s="157"/>
      <c r="C492" s="157" t="s">
        <v>263</v>
      </c>
      <c r="D492" s="149">
        <v>48</v>
      </c>
      <c r="E492" s="148">
        <v>2</v>
      </c>
      <c r="F492" s="148">
        <v>15000</v>
      </c>
      <c r="G492" s="149">
        <f t="shared" ref="G492:G493" si="67">D492*E492*F492</f>
        <v>1440000</v>
      </c>
      <c r="H492" s="48"/>
    </row>
    <row r="493" spans="1:13" x14ac:dyDescent="0.25">
      <c r="B493" s="157"/>
      <c r="C493" s="157" t="s">
        <v>264</v>
      </c>
      <c r="D493" s="149">
        <v>48</v>
      </c>
      <c r="E493" s="148">
        <v>2</v>
      </c>
      <c r="F493" s="148">
        <v>50000</v>
      </c>
      <c r="G493" s="149">
        <f t="shared" si="67"/>
        <v>4800000</v>
      </c>
      <c r="H493" s="48"/>
    </row>
    <row r="494" spans="1:13" x14ac:dyDescent="0.25">
      <c r="B494" s="166"/>
      <c r="C494" s="166" t="s">
        <v>265</v>
      </c>
      <c r="D494" s="149">
        <v>12</v>
      </c>
      <c r="E494" s="148">
        <v>1</v>
      </c>
      <c r="F494" s="148">
        <v>1000000</v>
      </c>
      <c r="G494" s="149">
        <f>D494*E494*F494</f>
        <v>12000000</v>
      </c>
      <c r="H494" s="48"/>
    </row>
    <row r="495" spans="1:13" ht="22.5" x14ac:dyDescent="0.25">
      <c r="B495" s="166"/>
      <c r="C495" s="157" t="s">
        <v>266</v>
      </c>
      <c r="D495" s="149">
        <v>10</v>
      </c>
      <c r="E495" s="148">
        <v>1</v>
      </c>
      <c r="F495" s="148">
        <v>500000</v>
      </c>
      <c r="G495" s="149">
        <f>D495*E495*F495</f>
        <v>5000000</v>
      </c>
      <c r="H495" s="48"/>
    </row>
    <row r="496" spans="1:13" ht="12" thickBot="1" x14ac:dyDescent="0.3">
      <c r="B496" s="167"/>
      <c r="C496" s="92" t="s">
        <v>140</v>
      </c>
      <c r="D496" s="92"/>
      <c r="E496" s="92"/>
      <c r="F496" s="92"/>
      <c r="G496" s="150">
        <f>SUM(G491:G495)</f>
        <v>28040000</v>
      </c>
      <c r="H496" s="127">
        <f>G496/8136</f>
        <v>3446.4110127826943</v>
      </c>
    </row>
    <row r="497" spans="1:8" ht="12" thickBot="1" x14ac:dyDescent="0.3">
      <c r="C497" s="92"/>
      <c r="D497" s="92"/>
      <c r="E497" s="92"/>
      <c r="F497" s="92"/>
      <c r="G497" s="159"/>
      <c r="H497" s="48"/>
    </row>
    <row r="498" spans="1:8" s="165" customFormat="1" x14ac:dyDescent="0.25">
      <c r="A498" s="168">
        <v>1.1499999999999999</v>
      </c>
      <c r="B498" s="169" t="s">
        <v>267</v>
      </c>
      <c r="C498" s="170" t="s">
        <v>268</v>
      </c>
      <c r="D498" s="163">
        <v>48</v>
      </c>
      <c r="E498" s="164">
        <v>2</v>
      </c>
      <c r="F498" s="164">
        <v>50000</v>
      </c>
      <c r="G498" s="163">
        <f>D498*E498*F498</f>
        <v>4800000</v>
      </c>
    </row>
    <row r="499" spans="1:8" x14ac:dyDescent="0.25">
      <c r="B499" s="156"/>
      <c r="C499" s="157" t="s">
        <v>269</v>
      </c>
      <c r="D499" s="149">
        <v>48</v>
      </c>
      <c r="E499" s="148">
        <v>2</v>
      </c>
      <c r="F499" s="148">
        <v>15000</v>
      </c>
      <c r="G499" s="149">
        <f t="shared" ref="G499" si="68">D499*E499*F499</f>
        <v>1440000</v>
      </c>
      <c r="H499" s="48"/>
    </row>
    <row r="500" spans="1:8" x14ac:dyDescent="0.25">
      <c r="B500" s="156"/>
      <c r="C500" s="166" t="s">
        <v>270</v>
      </c>
      <c r="D500" s="149">
        <v>48</v>
      </c>
      <c r="E500" s="148">
        <v>1</v>
      </c>
      <c r="F500" s="148">
        <v>100000</v>
      </c>
      <c r="G500" s="149">
        <f>D500*E500*F500</f>
        <v>4800000</v>
      </c>
      <c r="H500" s="48"/>
    </row>
    <row r="501" spans="1:8" ht="12" thickBot="1" x14ac:dyDescent="0.3">
      <c r="B501" s="156"/>
      <c r="C501" s="92" t="s">
        <v>140</v>
      </c>
      <c r="D501" s="92"/>
      <c r="E501" s="92"/>
      <c r="F501" s="92"/>
      <c r="G501" s="171">
        <f>SUM(G498:G500)</f>
        <v>11040000</v>
      </c>
      <c r="H501" s="127">
        <f>G501/8136</f>
        <v>1356.9321533923303</v>
      </c>
    </row>
    <row r="502" spans="1:8" x14ac:dyDescent="0.25">
      <c r="B502" s="156"/>
      <c r="C502" s="92"/>
      <c r="D502" s="92"/>
      <c r="E502" s="92"/>
      <c r="F502" s="92"/>
      <c r="G502" s="172"/>
      <c r="H502" s="48"/>
    </row>
    <row r="503" spans="1:8" x14ac:dyDescent="0.25">
      <c r="A503" s="160">
        <v>1.1599999999999999</v>
      </c>
      <c r="B503" s="173" t="s">
        <v>271</v>
      </c>
      <c r="C503" s="157" t="s">
        <v>272</v>
      </c>
      <c r="D503" s="149">
        <v>20</v>
      </c>
      <c r="E503" s="148">
        <v>2</v>
      </c>
      <c r="F503" s="148">
        <v>50000</v>
      </c>
      <c r="G503" s="149">
        <f>D503*E503*F503</f>
        <v>2000000</v>
      </c>
      <c r="H503" s="48"/>
    </row>
    <row r="504" spans="1:8" x14ac:dyDescent="0.25">
      <c r="B504" s="156"/>
      <c r="C504" s="157" t="s">
        <v>273</v>
      </c>
      <c r="D504" s="149">
        <v>20</v>
      </c>
      <c r="E504" s="148">
        <v>2</v>
      </c>
      <c r="F504" s="148">
        <v>15000</v>
      </c>
      <c r="G504" s="149">
        <f t="shared" ref="G504" si="69">D504*E504*F504</f>
        <v>600000</v>
      </c>
      <c r="H504" s="48"/>
    </row>
    <row r="505" spans="1:8" x14ac:dyDescent="0.25">
      <c r="B505" s="156"/>
      <c r="C505" s="92" t="s">
        <v>149</v>
      </c>
      <c r="D505" s="149">
        <v>10</v>
      </c>
      <c r="E505" s="148">
        <v>10</v>
      </c>
      <c r="F505" s="148">
        <v>7000</v>
      </c>
      <c r="G505" s="149">
        <f>D505*E505*F505</f>
        <v>700000</v>
      </c>
      <c r="H505" s="48"/>
    </row>
    <row r="506" spans="1:8" x14ac:dyDescent="0.25">
      <c r="B506" s="156"/>
      <c r="C506" s="166" t="s">
        <v>274</v>
      </c>
      <c r="D506" s="149">
        <v>10</v>
      </c>
      <c r="E506" s="148">
        <v>10</v>
      </c>
      <c r="F506" s="148">
        <v>50000</v>
      </c>
      <c r="G506" s="149">
        <f t="shared" ref="G506:G515" si="70">D506*E506*F506</f>
        <v>5000000</v>
      </c>
      <c r="H506" s="48"/>
    </row>
    <row r="507" spans="1:8" x14ac:dyDescent="0.25">
      <c r="B507" s="156"/>
      <c r="C507" s="167" t="s">
        <v>275</v>
      </c>
      <c r="D507" s="174">
        <v>10</v>
      </c>
      <c r="E507" s="175">
        <v>10</v>
      </c>
      <c r="F507" s="175">
        <v>50000</v>
      </c>
      <c r="G507" s="174">
        <f t="shared" si="70"/>
        <v>5000000</v>
      </c>
      <c r="H507" s="48"/>
    </row>
    <row r="508" spans="1:8" x14ac:dyDescent="0.15">
      <c r="B508" s="156"/>
      <c r="C508" s="176" t="s">
        <v>276</v>
      </c>
      <c r="D508" s="149">
        <v>1</v>
      </c>
      <c r="E508" s="148">
        <v>5</v>
      </c>
      <c r="F508" s="148">
        <v>1000000</v>
      </c>
      <c r="G508" s="149">
        <f t="shared" si="70"/>
        <v>5000000</v>
      </c>
      <c r="H508" s="48"/>
    </row>
    <row r="509" spans="1:8" x14ac:dyDescent="0.15">
      <c r="B509" s="156"/>
      <c r="C509" s="176" t="s">
        <v>277</v>
      </c>
      <c r="D509" s="149">
        <v>1</v>
      </c>
      <c r="E509" s="148">
        <v>10</v>
      </c>
      <c r="F509" s="148">
        <v>500000</v>
      </c>
      <c r="G509" s="149">
        <f t="shared" si="70"/>
        <v>5000000</v>
      </c>
      <c r="H509" s="48"/>
    </row>
    <row r="510" spans="1:8" x14ac:dyDescent="0.25">
      <c r="B510" s="156"/>
      <c r="C510" s="167" t="s">
        <v>278</v>
      </c>
      <c r="D510" s="174">
        <v>5</v>
      </c>
      <c r="E510" s="175">
        <v>10</v>
      </c>
      <c r="F510" s="175">
        <v>500000</v>
      </c>
      <c r="G510" s="174">
        <f t="shared" si="70"/>
        <v>25000000</v>
      </c>
      <c r="H510" s="48"/>
    </row>
    <row r="511" spans="1:8" x14ac:dyDescent="0.25">
      <c r="B511" s="156"/>
      <c r="C511" s="167" t="s">
        <v>279</v>
      </c>
      <c r="D511" s="174">
        <v>2</v>
      </c>
      <c r="E511" s="175">
        <v>10</v>
      </c>
      <c r="F511" s="175">
        <v>100000</v>
      </c>
      <c r="G511" s="174">
        <f t="shared" si="70"/>
        <v>2000000</v>
      </c>
      <c r="H511" s="48"/>
    </row>
    <row r="512" spans="1:8" x14ac:dyDescent="0.25">
      <c r="B512" s="156"/>
      <c r="C512" s="167" t="s">
        <v>280</v>
      </c>
      <c r="D512" s="174">
        <v>2</v>
      </c>
      <c r="E512" s="175">
        <v>10</v>
      </c>
      <c r="F512" s="175">
        <v>100000</v>
      </c>
      <c r="G512" s="174">
        <f t="shared" si="70"/>
        <v>2000000</v>
      </c>
      <c r="H512" s="48"/>
    </row>
    <row r="513" spans="1:8" x14ac:dyDescent="0.25">
      <c r="B513" s="156"/>
      <c r="C513" s="167" t="s">
        <v>281</v>
      </c>
      <c r="D513" s="174">
        <v>10</v>
      </c>
      <c r="E513" s="175">
        <v>1</v>
      </c>
      <c r="F513" s="175">
        <v>50000</v>
      </c>
      <c r="G513" s="174">
        <f t="shared" si="70"/>
        <v>500000</v>
      </c>
      <c r="H513" s="48"/>
    </row>
    <row r="514" spans="1:8" x14ac:dyDescent="0.25">
      <c r="B514" s="156"/>
      <c r="C514" s="157" t="s">
        <v>282</v>
      </c>
      <c r="D514" s="149">
        <v>200</v>
      </c>
      <c r="E514" s="148">
        <v>1</v>
      </c>
      <c r="F514" s="148">
        <v>15000</v>
      </c>
      <c r="G514" s="149">
        <f t="shared" si="70"/>
        <v>3000000</v>
      </c>
      <c r="H514" s="48"/>
    </row>
    <row r="515" spans="1:8" x14ac:dyDescent="0.25">
      <c r="B515" s="156"/>
      <c r="C515" s="177" t="s">
        <v>283</v>
      </c>
      <c r="D515" s="174">
        <v>48</v>
      </c>
      <c r="E515" s="175">
        <v>2</v>
      </c>
      <c r="F515" s="175">
        <v>750000</v>
      </c>
      <c r="G515" s="174">
        <f t="shared" si="70"/>
        <v>72000000</v>
      </c>
      <c r="H515" s="48"/>
    </row>
    <row r="516" spans="1:8" ht="12" thickBot="1" x14ac:dyDescent="0.3">
      <c r="B516" s="156"/>
      <c r="C516" s="92" t="s">
        <v>140</v>
      </c>
      <c r="D516" s="92"/>
      <c r="E516" s="92"/>
      <c r="F516" s="92"/>
      <c r="G516" s="150">
        <f>SUM(G503:G515)</f>
        <v>127800000</v>
      </c>
      <c r="H516" s="127">
        <f>G516/8136</f>
        <v>15707.964601769912</v>
      </c>
    </row>
    <row r="517" spans="1:8" ht="12" thickBot="1" x14ac:dyDescent="0.3">
      <c r="B517" s="156"/>
      <c r="C517" s="92"/>
      <c r="D517" s="92"/>
      <c r="E517" s="92"/>
      <c r="F517" s="92"/>
      <c r="G517" s="159"/>
      <c r="H517" s="48"/>
    </row>
    <row r="518" spans="1:8" s="165" customFormat="1" x14ac:dyDescent="0.25">
      <c r="A518" s="168">
        <v>1.17</v>
      </c>
      <c r="B518" s="169" t="s">
        <v>284</v>
      </c>
      <c r="C518" s="178" t="s">
        <v>39</v>
      </c>
      <c r="D518" s="163"/>
      <c r="E518" s="164"/>
      <c r="F518" s="164"/>
      <c r="G518" s="163"/>
    </row>
    <row r="519" spans="1:8" x14ac:dyDescent="0.25">
      <c r="B519" s="156"/>
      <c r="C519" s="92" t="s">
        <v>147</v>
      </c>
      <c r="D519" s="174">
        <v>1</v>
      </c>
      <c r="E519" s="175">
        <v>1</v>
      </c>
      <c r="F519" s="175">
        <v>150000</v>
      </c>
      <c r="G519" s="174">
        <f>D519*E519*F519</f>
        <v>150000</v>
      </c>
      <c r="H519" s="48"/>
    </row>
    <row r="520" spans="1:8" x14ac:dyDescent="0.25">
      <c r="B520" s="156"/>
      <c r="C520" s="92" t="s">
        <v>149</v>
      </c>
      <c r="D520" s="175">
        <v>20</v>
      </c>
      <c r="E520" s="175">
        <v>4</v>
      </c>
      <c r="F520" s="175">
        <v>7000</v>
      </c>
      <c r="G520" s="174">
        <f>D520*F520*E520</f>
        <v>560000</v>
      </c>
      <c r="H520" s="179"/>
    </row>
    <row r="521" spans="1:8" x14ac:dyDescent="0.25">
      <c r="B521" s="156"/>
      <c r="C521" s="120" t="s">
        <v>97</v>
      </c>
      <c r="D521" s="175">
        <v>7</v>
      </c>
      <c r="E521" s="175">
        <v>4</v>
      </c>
      <c r="F521" s="175">
        <v>40000</v>
      </c>
      <c r="G521" s="174">
        <f t="shared" ref="G521:G526" si="71">D521*E521*F521</f>
        <v>1120000</v>
      </c>
      <c r="H521" s="48"/>
    </row>
    <row r="522" spans="1:8" x14ac:dyDescent="0.25">
      <c r="B522" s="156"/>
      <c r="C522" s="92" t="s">
        <v>60</v>
      </c>
      <c r="D522" s="175">
        <v>45</v>
      </c>
      <c r="E522" s="175">
        <v>4</v>
      </c>
      <c r="F522" s="175">
        <v>20000</v>
      </c>
      <c r="G522" s="174">
        <f t="shared" si="71"/>
        <v>3600000</v>
      </c>
      <c r="H522" s="48"/>
    </row>
    <row r="523" spans="1:8" x14ac:dyDescent="0.25">
      <c r="B523" s="156"/>
      <c r="C523" s="92" t="s">
        <v>138</v>
      </c>
      <c r="D523" s="175">
        <v>45</v>
      </c>
      <c r="E523" s="175">
        <v>4</v>
      </c>
      <c r="F523" s="175">
        <v>20000</v>
      </c>
      <c r="G523" s="174">
        <f t="shared" si="71"/>
        <v>3600000</v>
      </c>
      <c r="H523" s="48"/>
    </row>
    <row r="524" spans="1:8" x14ac:dyDescent="0.25">
      <c r="B524" s="156"/>
      <c r="C524" s="92" t="s">
        <v>138</v>
      </c>
      <c r="D524" s="175">
        <v>30</v>
      </c>
      <c r="E524" s="175">
        <v>1</v>
      </c>
      <c r="F524" s="175">
        <v>50000</v>
      </c>
      <c r="G524" s="174">
        <f t="shared" si="71"/>
        <v>1500000</v>
      </c>
      <c r="H524" s="48"/>
    </row>
    <row r="525" spans="1:8" x14ac:dyDescent="0.25">
      <c r="B525" s="156"/>
      <c r="C525" s="92" t="s">
        <v>285</v>
      </c>
      <c r="D525" s="175">
        <v>450</v>
      </c>
      <c r="E525" s="175">
        <v>4</v>
      </c>
      <c r="F525" s="175">
        <v>7000</v>
      </c>
      <c r="G525" s="174">
        <f t="shared" si="71"/>
        <v>12600000</v>
      </c>
      <c r="H525" s="179"/>
    </row>
    <row r="526" spans="1:8" x14ac:dyDescent="0.25">
      <c r="B526" s="156"/>
      <c r="C526" s="92" t="s">
        <v>286</v>
      </c>
      <c r="D526" s="149">
        <v>1</v>
      </c>
      <c r="E526" s="148">
        <v>4</v>
      </c>
      <c r="F526" s="148">
        <v>1000000</v>
      </c>
      <c r="G526" s="174">
        <f t="shared" si="71"/>
        <v>4000000</v>
      </c>
      <c r="H526" s="48"/>
    </row>
    <row r="527" spans="1:8" x14ac:dyDescent="0.25">
      <c r="B527" s="156"/>
      <c r="C527" s="166"/>
      <c r="D527" s="149"/>
      <c r="E527" s="148"/>
      <c r="F527" s="148"/>
      <c r="G527" s="174"/>
      <c r="H527" s="48"/>
    </row>
    <row r="528" spans="1:8" ht="12" thickBot="1" x14ac:dyDescent="0.3">
      <c r="B528" s="156"/>
      <c r="C528" s="92" t="s">
        <v>140</v>
      </c>
      <c r="D528" s="92"/>
      <c r="E528" s="92"/>
      <c r="F528" s="92"/>
      <c r="G528" s="150">
        <f>SUM(G519:G527)</f>
        <v>27130000</v>
      </c>
      <c r="H528" s="127">
        <f>G528/8136</f>
        <v>3334.5624385447395</v>
      </c>
    </row>
    <row r="529" spans="1:11" ht="12" thickBot="1" x14ac:dyDescent="0.3">
      <c r="B529" s="156"/>
      <c r="C529" s="92"/>
      <c r="D529" s="92"/>
      <c r="E529" s="92"/>
      <c r="F529" s="92"/>
      <c r="G529" s="159"/>
      <c r="H529" s="48"/>
    </row>
    <row r="530" spans="1:11" s="165" customFormat="1" x14ac:dyDescent="0.25">
      <c r="A530" s="168">
        <v>1.18</v>
      </c>
      <c r="B530" s="169" t="s">
        <v>287</v>
      </c>
      <c r="C530" s="162" t="s">
        <v>288</v>
      </c>
      <c r="D530" s="163">
        <v>40</v>
      </c>
      <c r="E530" s="164">
        <f>4*6</f>
        <v>24</v>
      </c>
      <c r="F530" s="164">
        <v>50000</v>
      </c>
      <c r="G530" s="163">
        <f t="shared" ref="G530" si="72">D530*E530*F530</f>
        <v>48000000</v>
      </c>
    </row>
    <row r="531" spans="1:11" x14ac:dyDescent="0.25">
      <c r="A531" s="180"/>
      <c r="B531" s="156"/>
      <c r="C531" s="166" t="s">
        <v>289</v>
      </c>
      <c r="D531" s="149">
        <f>40*10</f>
        <v>400</v>
      </c>
      <c r="E531" s="148">
        <v>24</v>
      </c>
      <c r="F531" s="148">
        <v>20000</v>
      </c>
      <c r="G531" s="149">
        <f>D531*E531*F531</f>
        <v>192000000</v>
      </c>
      <c r="H531" s="48"/>
    </row>
    <row r="532" spans="1:11" x14ac:dyDescent="0.25">
      <c r="A532" s="180"/>
      <c r="B532" s="156"/>
      <c r="C532" s="166" t="s">
        <v>290</v>
      </c>
      <c r="D532" s="149">
        <v>10</v>
      </c>
      <c r="E532" s="149">
        <v>12</v>
      </c>
      <c r="F532" s="149">
        <v>7000</v>
      </c>
      <c r="G532" s="174">
        <f>D532*E532*F532</f>
        <v>840000</v>
      </c>
      <c r="H532" s="48"/>
    </row>
    <row r="533" spans="1:11" ht="12" thickBot="1" x14ac:dyDescent="0.3">
      <c r="A533" s="180"/>
      <c r="C533" s="92" t="s">
        <v>140</v>
      </c>
      <c r="D533" s="92"/>
      <c r="E533" s="92"/>
      <c r="F533" s="92"/>
      <c r="G533" s="150">
        <f>SUM(G530:G532)</f>
        <v>240840000</v>
      </c>
      <c r="H533" s="127">
        <f>G533/8136</f>
        <v>29601.769911504423</v>
      </c>
    </row>
    <row r="534" spans="1:11" ht="12" thickBot="1" x14ac:dyDescent="0.3">
      <c r="A534" s="180"/>
      <c r="C534" s="92"/>
      <c r="D534" s="92"/>
      <c r="E534" s="92"/>
      <c r="F534" s="92"/>
      <c r="G534" s="159"/>
      <c r="H534" s="48"/>
    </row>
    <row r="535" spans="1:11" x14ac:dyDescent="0.25">
      <c r="A535" s="168">
        <v>1.19</v>
      </c>
      <c r="B535" s="169" t="s">
        <v>291</v>
      </c>
      <c r="C535" s="163" t="s">
        <v>292</v>
      </c>
      <c r="D535" s="163"/>
      <c r="E535" s="164"/>
      <c r="F535" s="164"/>
      <c r="G535" s="163"/>
      <c r="H535" s="174"/>
      <c r="I535" s="175"/>
      <c r="J535" s="175"/>
      <c r="K535" s="174"/>
    </row>
    <row r="536" spans="1:11" x14ac:dyDescent="0.25">
      <c r="C536" s="167" t="s">
        <v>293</v>
      </c>
      <c r="D536" s="174">
        <v>5</v>
      </c>
      <c r="E536" s="175">
        <v>1</v>
      </c>
      <c r="F536" s="175">
        <v>3000000</v>
      </c>
      <c r="G536" s="174">
        <f>D536*E536*F536</f>
        <v>15000000</v>
      </c>
      <c r="H536" s="174"/>
      <c r="I536" s="175"/>
      <c r="J536" s="175"/>
      <c r="K536" s="174">
        <f>I536*J536</f>
        <v>0</v>
      </c>
    </row>
    <row r="537" spans="1:11" x14ac:dyDescent="0.25">
      <c r="C537" s="174" t="s">
        <v>294</v>
      </c>
      <c r="D537" s="175"/>
      <c r="E537" s="175"/>
      <c r="F537" s="175"/>
      <c r="G537" s="174">
        <f t="shared" ref="G537:G538" si="73">D537*E537*F537</f>
        <v>0</v>
      </c>
      <c r="H537" s="175"/>
      <c r="I537" s="175"/>
      <c r="J537" s="175"/>
      <c r="K537" s="174">
        <f t="shared" ref="K537:K538" si="74">H537*I537*J537</f>
        <v>0</v>
      </c>
    </row>
    <row r="538" spans="1:11" x14ac:dyDescent="0.25">
      <c r="C538" s="174" t="s">
        <v>295</v>
      </c>
      <c r="D538" s="175">
        <v>1</v>
      </c>
      <c r="E538" s="175">
        <v>12</v>
      </c>
      <c r="F538" s="175">
        <v>8000000</v>
      </c>
      <c r="G538" s="174">
        <f t="shared" si="73"/>
        <v>96000000</v>
      </c>
      <c r="H538" s="175"/>
      <c r="I538" s="175"/>
      <c r="J538" s="175"/>
      <c r="K538" s="174">
        <f t="shared" si="74"/>
        <v>0</v>
      </c>
    </row>
    <row r="539" spans="1:11" x14ac:dyDescent="0.25">
      <c r="C539" s="92" t="s">
        <v>220</v>
      </c>
      <c r="D539" s="175">
        <v>50</v>
      </c>
      <c r="E539" s="175">
        <v>52</v>
      </c>
      <c r="F539" s="175">
        <v>7000</v>
      </c>
      <c r="G539" s="174">
        <f>D539*E539*F539</f>
        <v>18200000</v>
      </c>
      <c r="H539" s="175"/>
      <c r="I539" s="175"/>
      <c r="J539" s="175"/>
      <c r="K539" s="174"/>
    </row>
    <row r="540" spans="1:11" x14ac:dyDescent="0.25">
      <c r="C540" s="174" t="s">
        <v>296</v>
      </c>
      <c r="D540" s="175">
        <v>1</v>
      </c>
      <c r="E540" s="175">
        <v>12</v>
      </c>
      <c r="F540" s="175">
        <v>3000000</v>
      </c>
      <c r="G540" s="174">
        <f t="shared" ref="G540" si="75">D540*E540*F540</f>
        <v>36000000</v>
      </c>
      <c r="H540" s="175"/>
      <c r="I540" s="175"/>
      <c r="J540" s="175"/>
      <c r="K540" s="174"/>
    </row>
    <row r="541" spans="1:11" x14ac:dyDescent="0.25">
      <c r="C541" s="174" t="s">
        <v>297</v>
      </c>
      <c r="D541" s="175">
        <v>1</v>
      </c>
      <c r="E541" s="175">
        <v>12</v>
      </c>
      <c r="F541" s="175">
        <v>1780167</v>
      </c>
      <c r="G541" s="174">
        <f>F541</f>
        <v>1780167</v>
      </c>
      <c r="H541" s="175"/>
      <c r="I541" s="175"/>
      <c r="J541" s="175"/>
      <c r="K541" s="174"/>
    </row>
    <row r="542" spans="1:11" x14ac:dyDescent="0.25">
      <c r="C542" s="174" t="s">
        <v>298</v>
      </c>
      <c r="D542" s="175"/>
      <c r="E542" s="175"/>
      <c r="F542" s="175"/>
      <c r="G542" s="174"/>
      <c r="H542" s="175"/>
      <c r="I542" s="175"/>
      <c r="J542" s="175"/>
      <c r="K542" s="174">
        <f>H542*I542*J542</f>
        <v>0</v>
      </c>
    </row>
    <row r="543" spans="1:11" ht="33.75" x14ac:dyDescent="0.25">
      <c r="C543" s="120" t="s">
        <v>162</v>
      </c>
      <c r="D543" s="175">
        <v>3</v>
      </c>
      <c r="E543" s="175">
        <v>54</v>
      </c>
      <c r="F543" s="175">
        <v>100000</v>
      </c>
      <c r="G543" s="174">
        <f t="shared" ref="G543" si="76">D543*E543*F543</f>
        <v>16200000</v>
      </c>
      <c r="H543" s="175"/>
      <c r="I543" s="175"/>
      <c r="J543" s="175"/>
      <c r="K543" s="174">
        <f>H543*I543*J543</f>
        <v>0</v>
      </c>
    </row>
    <row r="544" spans="1:11" ht="33.75" x14ac:dyDescent="0.25">
      <c r="C544" s="120" t="s">
        <v>161</v>
      </c>
      <c r="D544" s="175">
        <v>3</v>
      </c>
      <c r="E544" s="175">
        <v>50</v>
      </c>
      <c r="F544" s="175">
        <v>150000</v>
      </c>
      <c r="G544" s="174">
        <f>D544*E544*F544</f>
        <v>22500000</v>
      </c>
      <c r="H544" s="175"/>
      <c r="I544" s="175"/>
      <c r="J544" s="175"/>
      <c r="K544" s="174"/>
    </row>
    <row r="545" spans="2:11" x14ac:dyDescent="0.25">
      <c r="C545" s="174" t="s">
        <v>299</v>
      </c>
      <c r="D545" s="175"/>
      <c r="E545" s="175"/>
      <c r="F545" s="175"/>
      <c r="G545" s="174">
        <f t="shared" ref="G545" si="77">D545*E545*F545</f>
        <v>0</v>
      </c>
      <c r="H545" s="175"/>
      <c r="I545" s="175"/>
      <c r="J545" s="175"/>
      <c r="K545" s="174">
        <f t="shared" ref="K545" si="78">H545*I545*J545</f>
        <v>0</v>
      </c>
    </row>
    <row r="546" spans="2:11" x14ac:dyDescent="0.25">
      <c r="B546" s="92"/>
      <c r="C546" s="167" t="s">
        <v>300</v>
      </c>
      <c r="D546" s="174">
        <v>52.166666666666664</v>
      </c>
      <c r="E546" s="175">
        <v>1</v>
      </c>
      <c r="F546" s="175">
        <v>7000</v>
      </c>
      <c r="G546" s="174">
        <f>D546*E546*F546</f>
        <v>365166.66666666663</v>
      </c>
      <c r="H546" s="174"/>
      <c r="I546" s="175"/>
      <c r="J546" s="175"/>
      <c r="K546" s="174"/>
    </row>
    <row r="547" spans="2:11" x14ac:dyDescent="0.25">
      <c r="B547" s="92"/>
      <c r="C547" s="167" t="s">
        <v>301</v>
      </c>
      <c r="D547" s="174">
        <f>515/6</f>
        <v>85.833333333333329</v>
      </c>
      <c r="E547" s="175">
        <v>1</v>
      </c>
      <c r="F547" s="175">
        <v>7000</v>
      </c>
      <c r="G547" s="174">
        <f t="shared" ref="G547:G560" si="79">D547*E547*F547</f>
        <v>600833.33333333326</v>
      </c>
      <c r="H547" s="174"/>
      <c r="I547" s="175"/>
      <c r="J547" s="175"/>
      <c r="K547" s="174"/>
    </row>
    <row r="548" spans="2:11" x14ac:dyDescent="0.25">
      <c r="B548" s="92"/>
      <c r="C548" s="167" t="s">
        <v>302</v>
      </c>
      <c r="D548" s="174">
        <f>631/6</f>
        <v>105.16666666666667</v>
      </c>
      <c r="E548" s="175">
        <v>1</v>
      </c>
      <c r="F548" s="175">
        <v>7000</v>
      </c>
      <c r="G548" s="174">
        <f t="shared" si="79"/>
        <v>736166.66666666674</v>
      </c>
      <c r="H548" s="174"/>
      <c r="I548" s="175"/>
      <c r="J548" s="175"/>
      <c r="K548" s="174"/>
    </row>
    <row r="549" spans="2:11" x14ac:dyDescent="0.25">
      <c r="C549" s="92" t="s">
        <v>220</v>
      </c>
      <c r="D549" s="174">
        <v>10</v>
      </c>
      <c r="E549" s="175">
        <v>5</v>
      </c>
      <c r="F549" s="175">
        <v>7000</v>
      </c>
      <c r="G549" s="174">
        <f t="shared" si="79"/>
        <v>350000</v>
      </c>
      <c r="H549" s="174"/>
      <c r="I549" s="175"/>
      <c r="J549" s="175"/>
      <c r="K549" s="174"/>
    </row>
    <row r="550" spans="2:11" x14ac:dyDescent="0.25">
      <c r="C550" s="174" t="s">
        <v>303</v>
      </c>
      <c r="D550" s="175">
        <f>894/6</f>
        <v>149</v>
      </c>
      <c r="E550" s="175">
        <v>1</v>
      </c>
      <c r="F550" s="175">
        <v>7000</v>
      </c>
      <c r="G550" s="174">
        <f t="shared" si="79"/>
        <v>1043000</v>
      </c>
      <c r="H550" s="175"/>
      <c r="I550" s="175"/>
      <c r="J550" s="175"/>
      <c r="K550" s="174"/>
    </row>
    <row r="551" spans="2:11" x14ac:dyDescent="0.25">
      <c r="C551" s="174" t="s">
        <v>304</v>
      </c>
      <c r="D551" s="175">
        <f>398/6</f>
        <v>66.333333333333329</v>
      </c>
      <c r="E551" s="175">
        <v>1</v>
      </c>
      <c r="F551" s="175">
        <v>7000</v>
      </c>
      <c r="G551" s="174">
        <f t="shared" si="79"/>
        <v>464333.33333333331</v>
      </c>
      <c r="H551" s="175"/>
      <c r="I551" s="175"/>
      <c r="J551" s="175"/>
      <c r="K551" s="174"/>
    </row>
    <row r="552" spans="2:11" x14ac:dyDescent="0.25">
      <c r="C552" s="174" t="s">
        <v>305</v>
      </c>
      <c r="D552" s="175">
        <f xml:space="preserve"> 762/6</f>
        <v>127</v>
      </c>
      <c r="E552" s="175">
        <v>1</v>
      </c>
      <c r="F552" s="175">
        <v>7000</v>
      </c>
      <c r="G552" s="174">
        <f t="shared" si="79"/>
        <v>889000</v>
      </c>
      <c r="H552" s="175"/>
      <c r="I552" s="175"/>
      <c r="J552" s="175"/>
      <c r="K552" s="174"/>
    </row>
    <row r="553" spans="2:11" x14ac:dyDescent="0.25">
      <c r="B553" s="120"/>
      <c r="C553" s="92" t="s">
        <v>220</v>
      </c>
      <c r="D553" s="175">
        <v>10</v>
      </c>
      <c r="E553" s="175">
        <v>4</v>
      </c>
      <c r="F553" s="175">
        <v>7000</v>
      </c>
      <c r="G553" s="174">
        <f t="shared" si="79"/>
        <v>280000</v>
      </c>
      <c r="H553" s="175"/>
      <c r="I553" s="175"/>
      <c r="J553" s="175"/>
      <c r="K553" s="174"/>
    </row>
    <row r="554" spans="2:11" x14ac:dyDescent="0.25">
      <c r="B554" s="120"/>
      <c r="C554" s="174" t="s">
        <v>306</v>
      </c>
      <c r="D554" s="175">
        <f>205/6</f>
        <v>34.166666666666664</v>
      </c>
      <c r="E554" s="175">
        <v>1</v>
      </c>
      <c r="F554" s="175">
        <v>7000</v>
      </c>
      <c r="G554" s="174">
        <f t="shared" si="79"/>
        <v>239166.66666666666</v>
      </c>
      <c r="H554" s="175"/>
      <c r="I554" s="175"/>
      <c r="J554" s="175"/>
      <c r="K554" s="174"/>
    </row>
    <row r="555" spans="2:11" x14ac:dyDescent="0.25">
      <c r="C555" s="174" t="s">
        <v>307</v>
      </c>
      <c r="D555" s="175">
        <f>469/6</f>
        <v>78.166666666666671</v>
      </c>
      <c r="E555" s="175">
        <v>1</v>
      </c>
      <c r="F555" s="175">
        <v>7000</v>
      </c>
      <c r="G555" s="174">
        <f t="shared" si="79"/>
        <v>547166.66666666674</v>
      </c>
      <c r="H555" s="175"/>
      <c r="I555" s="175"/>
      <c r="J555" s="175"/>
      <c r="K555" s="174"/>
    </row>
    <row r="556" spans="2:11" x14ac:dyDescent="0.25">
      <c r="C556" s="174" t="s">
        <v>308</v>
      </c>
      <c r="D556" s="175">
        <f>471/7</f>
        <v>67.285714285714292</v>
      </c>
      <c r="E556" s="175">
        <v>1</v>
      </c>
      <c r="F556" s="175">
        <v>7000</v>
      </c>
      <c r="G556" s="174">
        <f t="shared" si="79"/>
        <v>471000.00000000006</v>
      </c>
      <c r="H556" s="175"/>
      <c r="I556" s="175"/>
      <c r="J556" s="175"/>
      <c r="K556" s="174"/>
    </row>
    <row r="557" spans="2:11" x14ac:dyDescent="0.25">
      <c r="C557" s="92" t="s">
        <v>220</v>
      </c>
      <c r="D557" s="175">
        <v>10</v>
      </c>
      <c r="E557" s="175">
        <v>4</v>
      </c>
      <c r="F557" s="175">
        <v>7000</v>
      </c>
      <c r="G557" s="174">
        <f t="shared" si="79"/>
        <v>280000</v>
      </c>
      <c r="H557" s="175"/>
      <c r="I557" s="175"/>
      <c r="J557" s="175"/>
      <c r="K557" s="174"/>
    </row>
    <row r="558" spans="2:11" x14ac:dyDescent="0.25">
      <c r="C558" s="174" t="s">
        <v>309</v>
      </c>
      <c r="D558" s="175">
        <f>887/7</f>
        <v>126.71428571428571</v>
      </c>
      <c r="E558" s="175">
        <v>1</v>
      </c>
      <c r="F558" s="175">
        <v>7000</v>
      </c>
      <c r="G558" s="174">
        <f t="shared" si="79"/>
        <v>887000</v>
      </c>
      <c r="H558" s="175"/>
      <c r="I558" s="175"/>
      <c r="J558" s="175"/>
      <c r="K558" s="174"/>
    </row>
    <row r="559" spans="2:11" x14ac:dyDescent="0.25">
      <c r="C559" s="174" t="s">
        <v>310</v>
      </c>
      <c r="D559" s="175">
        <f>887/7</f>
        <v>126.71428571428571</v>
      </c>
      <c r="E559" s="175">
        <v>1</v>
      </c>
      <c r="F559" s="175">
        <v>7000</v>
      </c>
      <c r="G559" s="174">
        <f t="shared" si="79"/>
        <v>887000</v>
      </c>
      <c r="H559" s="175"/>
      <c r="I559" s="175"/>
      <c r="J559" s="175"/>
      <c r="K559" s="174"/>
    </row>
    <row r="560" spans="2:11" x14ac:dyDescent="0.25">
      <c r="C560" s="92" t="s">
        <v>220</v>
      </c>
      <c r="D560" s="175">
        <v>10</v>
      </c>
      <c r="E560" s="175">
        <v>4</v>
      </c>
      <c r="F560" s="175">
        <v>7000</v>
      </c>
      <c r="G560" s="174">
        <f t="shared" si="79"/>
        <v>280000</v>
      </c>
      <c r="H560" s="175"/>
      <c r="I560" s="175"/>
      <c r="J560" s="175"/>
      <c r="K560" s="174"/>
    </row>
    <row r="561" spans="1:8" ht="12" thickBot="1" x14ac:dyDescent="0.3">
      <c r="C561" s="92" t="s">
        <v>140</v>
      </c>
      <c r="D561" s="92"/>
      <c r="E561" s="92"/>
      <c r="F561" s="92"/>
      <c r="G561" s="150">
        <v>214000000</v>
      </c>
      <c r="H561" s="127">
        <f>G561/8136</f>
        <v>26302.851524090463</v>
      </c>
    </row>
    <row r="562" spans="1:8" ht="12" thickBot="1" x14ac:dyDescent="0.3">
      <c r="C562" s="92"/>
      <c r="D562" s="92"/>
      <c r="E562" s="92"/>
      <c r="F562" s="92"/>
      <c r="G562" s="159"/>
      <c r="H562" s="48"/>
    </row>
    <row r="563" spans="1:8" x14ac:dyDescent="0.25">
      <c r="A563" s="181" t="s">
        <v>311</v>
      </c>
      <c r="B563" s="169" t="s">
        <v>312</v>
      </c>
      <c r="C563" s="182" t="s">
        <v>313</v>
      </c>
      <c r="D563" s="163"/>
      <c r="E563" s="164"/>
      <c r="F563" s="164"/>
      <c r="G563" s="163"/>
      <c r="H563" s="48"/>
    </row>
    <row r="564" spans="1:8" x14ac:dyDescent="0.25">
      <c r="C564" s="167" t="s">
        <v>314</v>
      </c>
      <c r="D564" s="174">
        <v>1</v>
      </c>
      <c r="E564" s="175">
        <v>1</v>
      </c>
      <c r="F564" s="175">
        <v>300000</v>
      </c>
      <c r="G564" s="174">
        <f>D564*E564*F564</f>
        <v>300000</v>
      </c>
      <c r="H564" s="48"/>
    </row>
    <row r="565" spans="1:8" x14ac:dyDescent="0.25">
      <c r="C565" s="174" t="s">
        <v>315</v>
      </c>
      <c r="D565" s="175"/>
      <c r="E565" s="175"/>
      <c r="F565" s="175"/>
      <c r="G565" s="174">
        <f t="shared" ref="G565:G566" si="80">D565*E565*F565</f>
        <v>0</v>
      </c>
      <c r="H565" s="48"/>
    </row>
    <row r="566" spans="1:8" x14ac:dyDescent="0.25">
      <c r="C566" s="174" t="s">
        <v>316</v>
      </c>
      <c r="D566" s="175">
        <v>7</v>
      </c>
      <c r="E566" s="175">
        <v>2</v>
      </c>
      <c r="F566" s="175">
        <v>40000</v>
      </c>
      <c r="G566" s="174">
        <f t="shared" si="80"/>
        <v>560000</v>
      </c>
      <c r="H566" s="48"/>
    </row>
    <row r="567" spans="1:8" x14ac:dyDescent="0.25">
      <c r="C567" s="92" t="s">
        <v>317</v>
      </c>
      <c r="D567" s="175">
        <v>40</v>
      </c>
      <c r="E567" s="175">
        <v>2</v>
      </c>
      <c r="F567" s="175">
        <v>7000</v>
      </c>
      <c r="G567" s="174">
        <f>D567*F567*E567</f>
        <v>560000</v>
      </c>
      <c r="H567" s="48"/>
    </row>
    <row r="568" spans="1:8" x14ac:dyDescent="0.25">
      <c r="C568" s="166" t="s">
        <v>97</v>
      </c>
      <c r="D568" s="175">
        <v>1000</v>
      </c>
      <c r="E568" s="175">
        <v>1</v>
      </c>
      <c r="F568" s="175">
        <v>10000</v>
      </c>
      <c r="G568" s="174">
        <f t="shared" ref="G568:G575" si="81">D568*E568*F568</f>
        <v>10000000</v>
      </c>
      <c r="H568" s="48"/>
    </row>
    <row r="569" spans="1:8" x14ac:dyDescent="0.25">
      <c r="C569" s="174" t="s">
        <v>60</v>
      </c>
      <c r="D569" s="175">
        <v>1000</v>
      </c>
      <c r="E569" s="175">
        <v>1</v>
      </c>
      <c r="F569" s="175">
        <v>10000</v>
      </c>
      <c r="G569" s="174">
        <f t="shared" si="81"/>
        <v>10000000</v>
      </c>
      <c r="H569" s="48"/>
    </row>
    <row r="570" spans="1:8" x14ac:dyDescent="0.25">
      <c r="C570" s="174" t="s">
        <v>318</v>
      </c>
      <c r="D570" s="175">
        <v>10</v>
      </c>
      <c r="E570" s="175">
        <v>1</v>
      </c>
      <c r="F570" s="175">
        <v>50000</v>
      </c>
      <c r="G570" s="174">
        <f t="shared" si="81"/>
        <v>500000</v>
      </c>
      <c r="H570" s="48"/>
    </row>
    <row r="571" spans="1:8" x14ac:dyDescent="0.25">
      <c r="C571" s="174" t="s">
        <v>319</v>
      </c>
      <c r="D571" s="175">
        <v>10</v>
      </c>
      <c r="E571" s="175">
        <v>1</v>
      </c>
      <c r="F571" s="175">
        <v>500000</v>
      </c>
      <c r="G571" s="174">
        <f t="shared" si="81"/>
        <v>5000000</v>
      </c>
      <c r="H571" s="48"/>
    </row>
    <row r="572" spans="1:8" x14ac:dyDescent="0.15">
      <c r="C572" s="174" t="s">
        <v>320</v>
      </c>
      <c r="D572" s="183">
        <v>4</v>
      </c>
      <c r="E572" s="183">
        <v>10</v>
      </c>
      <c r="F572" s="184">
        <v>50000</v>
      </c>
      <c r="G572" s="184">
        <f t="shared" si="81"/>
        <v>2000000</v>
      </c>
      <c r="H572" s="48"/>
    </row>
    <row r="573" spans="1:8" x14ac:dyDescent="0.15">
      <c r="C573" s="174" t="s">
        <v>321</v>
      </c>
      <c r="D573" s="183">
        <v>1</v>
      </c>
      <c r="E573" s="183">
        <v>1</v>
      </c>
      <c r="F573" s="184">
        <v>1500000</v>
      </c>
      <c r="G573" s="184">
        <f t="shared" si="81"/>
        <v>1500000</v>
      </c>
      <c r="H573" s="48"/>
    </row>
    <row r="574" spans="1:8" x14ac:dyDescent="0.15">
      <c r="C574" s="174" t="s">
        <v>322</v>
      </c>
      <c r="D574" s="183">
        <v>25</v>
      </c>
      <c r="E574" s="183">
        <v>2</v>
      </c>
      <c r="F574" s="184">
        <v>50000</v>
      </c>
      <c r="G574" s="184">
        <f t="shared" si="81"/>
        <v>2500000</v>
      </c>
      <c r="H574" s="48"/>
    </row>
    <row r="575" spans="1:8" x14ac:dyDescent="0.15">
      <c r="C575" s="174" t="s">
        <v>323</v>
      </c>
      <c r="D575" s="183">
        <v>1</v>
      </c>
      <c r="E575" s="183">
        <v>2</v>
      </c>
      <c r="F575" s="184">
        <v>2000000</v>
      </c>
      <c r="G575" s="184">
        <f t="shared" si="81"/>
        <v>4000000</v>
      </c>
      <c r="H575" s="48"/>
    </row>
    <row r="576" spans="1:8" ht="12" thickBot="1" x14ac:dyDescent="0.3">
      <c r="C576" s="92" t="s">
        <v>140</v>
      </c>
      <c r="D576" s="92"/>
      <c r="E576" s="92"/>
      <c r="F576" s="92"/>
      <c r="G576" s="150">
        <f>G564+G566+G568+G569+G570+G571+G572+G573+G574+G575+G567</f>
        <v>36920000</v>
      </c>
      <c r="H576" s="127">
        <f>G576/8136</f>
        <v>4537.8564405113075</v>
      </c>
    </row>
    <row r="577" spans="1:19" ht="12" thickBot="1" x14ac:dyDescent="0.3">
      <c r="C577" s="92"/>
      <c r="D577" s="92"/>
      <c r="E577" s="92"/>
      <c r="F577" s="92"/>
      <c r="G577" s="159"/>
      <c r="H577" s="48"/>
    </row>
    <row r="578" spans="1:19" s="188" customFormat="1" ht="15.75" thickBot="1" x14ac:dyDescent="0.25">
      <c r="A578" s="185" t="s">
        <v>65</v>
      </c>
      <c r="B578" s="185" t="s">
        <v>324</v>
      </c>
      <c r="C578" s="185"/>
      <c r="D578" s="185"/>
      <c r="E578" s="185"/>
      <c r="F578" s="185"/>
      <c r="G578" s="185"/>
      <c r="H578" s="186">
        <f>H586+H590+H630+H680+H716+H727</f>
        <v>98079.87127171419</v>
      </c>
      <c r="I578" s="187" t="s">
        <v>325</v>
      </c>
      <c r="J578" s="187"/>
      <c r="K578" s="187"/>
      <c r="L578" s="187"/>
      <c r="M578" s="187"/>
      <c r="N578" s="187"/>
      <c r="O578" s="187"/>
      <c r="P578" s="187"/>
      <c r="Q578" s="187"/>
      <c r="R578" s="187"/>
      <c r="S578" s="187"/>
    </row>
    <row r="579" spans="1:19" s="49" customFormat="1" ht="22.5" x14ac:dyDescent="0.25">
      <c r="A579" s="125">
        <v>2.1</v>
      </c>
      <c r="B579" s="116" t="s">
        <v>326</v>
      </c>
      <c r="C579" s="117" t="s">
        <v>39</v>
      </c>
      <c r="D579" s="117">
        <v>150000</v>
      </c>
      <c r="E579" s="117">
        <v>1</v>
      </c>
      <c r="F579" s="117">
        <v>1</v>
      </c>
      <c r="G579" s="118">
        <f t="shared" ref="G579" si="82">D579*E579*F579</f>
        <v>150000</v>
      </c>
      <c r="H579" s="48"/>
      <c r="I579" s="48"/>
      <c r="J579" s="48"/>
      <c r="K579" s="48"/>
      <c r="L579" s="48"/>
      <c r="M579" s="48"/>
    </row>
    <row r="580" spans="1:19" s="49" customFormat="1" x14ac:dyDescent="0.25">
      <c r="A580" s="91"/>
      <c r="B580" s="61" t="s">
        <v>150</v>
      </c>
      <c r="C580" s="92" t="s">
        <v>234</v>
      </c>
      <c r="D580" s="92">
        <v>40000</v>
      </c>
      <c r="E580" s="92">
        <v>7</v>
      </c>
      <c r="F580" s="92">
        <v>2</v>
      </c>
      <c r="G580" s="93">
        <f>D580*E580*F580</f>
        <v>560000</v>
      </c>
      <c r="H580" s="48"/>
      <c r="I580" s="48"/>
      <c r="J580" s="48"/>
      <c r="K580" s="48"/>
      <c r="L580" s="48"/>
      <c r="M580" s="48"/>
    </row>
    <row r="581" spans="1:19" s="97" customFormat="1" x14ac:dyDescent="0.25">
      <c r="A581" s="91"/>
      <c r="C581" s="92" t="s">
        <v>230</v>
      </c>
      <c r="D581" s="92">
        <f>7000</f>
        <v>7000</v>
      </c>
      <c r="E581" s="92">
        <v>10</v>
      </c>
      <c r="F581" s="92">
        <v>40</v>
      </c>
      <c r="G581" s="93">
        <f t="shared" ref="G581" si="83">D581*E581*F581</f>
        <v>2800000</v>
      </c>
      <c r="H581" s="96"/>
      <c r="I581" s="96"/>
      <c r="J581" s="96"/>
      <c r="K581" s="96"/>
      <c r="L581" s="96"/>
      <c r="M581" s="96"/>
    </row>
    <row r="582" spans="1:19" s="97" customFormat="1" x14ac:dyDescent="0.25">
      <c r="A582" s="91"/>
      <c r="B582" s="61"/>
      <c r="C582" s="120" t="s">
        <v>97</v>
      </c>
      <c r="D582" s="92">
        <v>20000</v>
      </c>
      <c r="E582" s="92">
        <v>20</v>
      </c>
      <c r="F582" s="92">
        <v>2</v>
      </c>
      <c r="G582" s="93">
        <f>D582*E582*F582</f>
        <v>800000</v>
      </c>
      <c r="H582" s="96"/>
      <c r="I582" s="96"/>
      <c r="J582" s="96"/>
      <c r="K582" s="96"/>
      <c r="L582" s="96"/>
      <c r="M582" s="96"/>
    </row>
    <row r="583" spans="1:19" s="97" customFormat="1" x14ac:dyDescent="0.25">
      <c r="A583" s="91"/>
      <c r="B583" s="61"/>
      <c r="C583" s="92" t="s">
        <v>60</v>
      </c>
      <c r="D583" s="92">
        <v>20000</v>
      </c>
      <c r="E583" s="92">
        <v>20</v>
      </c>
      <c r="F583" s="92">
        <v>2</v>
      </c>
      <c r="G583" s="93">
        <f t="shared" ref="G583:G584" si="84">D583*E583*F583</f>
        <v>800000</v>
      </c>
      <c r="H583" s="96"/>
      <c r="I583" s="96"/>
      <c r="J583" s="96"/>
      <c r="K583" s="96"/>
      <c r="L583" s="96"/>
      <c r="M583" s="96"/>
    </row>
    <row r="584" spans="1:19" s="97" customFormat="1" x14ac:dyDescent="0.25">
      <c r="A584" s="91"/>
      <c r="B584" s="61"/>
      <c r="C584" s="92" t="s">
        <v>59</v>
      </c>
      <c r="D584" s="92">
        <v>50000</v>
      </c>
      <c r="E584" s="92">
        <v>10</v>
      </c>
      <c r="F584" s="92">
        <v>1</v>
      </c>
      <c r="G584" s="93">
        <f t="shared" si="84"/>
        <v>500000</v>
      </c>
      <c r="H584" s="96"/>
      <c r="I584" s="96"/>
      <c r="J584" s="96"/>
      <c r="K584" s="96"/>
      <c r="L584" s="96"/>
      <c r="M584" s="96"/>
    </row>
    <row r="585" spans="1:19" s="49" customFormat="1" ht="12" thickBot="1" x14ac:dyDescent="0.3">
      <c r="A585" s="91"/>
      <c r="B585" s="120"/>
      <c r="C585" s="92"/>
      <c r="D585" s="92"/>
      <c r="E585" s="92"/>
      <c r="F585" s="92"/>
      <c r="G585" s="93"/>
      <c r="H585" s="48"/>
      <c r="I585" s="48"/>
      <c r="J585" s="48"/>
      <c r="K585" s="48"/>
      <c r="L585" s="48"/>
      <c r="M585" s="48"/>
    </row>
    <row r="586" spans="1:19" s="49" customFormat="1" ht="12" thickBot="1" x14ac:dyDescent="0.3">
      <c r="A586" s="91"/>
      <c r="B586" s="120"/>
      <c r="C586" s="92" t="s">
        <v>140</v>
      </c>
      <c r="D586" s="92"/>
      <c r="E586" s="92"/>
      <c r="F586" s="92"/>
      <c r="G586" s="126">
        <f>SUM(G579:G585)</f>
        <v>5610000</v>
      </c>
      <c r="H586" s="127">
        <f>G586/8136</f>
        <v>689.52802359882003</v>
      </c>
      <c r="I586" s="48"/>
      <c r="J586" s="48"/>
      <c r="K586" s="48"/>
      <c r="L586" s="48"/>
      <c r="M586" s="48"/>
    </row>
    <row r="587" spans="1:19" s="49" customFormat="1" ht="12" thickBot="1" x14ac:dyDescent="0.3">
      <c r="A587" s="91"/>
      <c r="B587" s="120"/>
      <c r="C587" s="92"/>
      <c r="D587" s="92"/>
      <c r="E587" s="92"/>
      <c r="F587" s="92"/>
      <c r="G587" s="93"/>
      <c r="H587" s="48"/>
      <c r="I587" s="48"/>
      <c r="J587" s="48"/>
      <c r="K587" s="48"/>
      <c r="L587" s="48"/>
      <c r="M587" s="48"/>
    </row>
    <row r="588" spans="1:19" s="49" customFormat="1" x14ac:dyDescent="0.25">
      <c r="A588" s="125">
        <v>2.2000000000000002</v>
      </c>
      <c r="B588" s="116" t="s">
        <v>327</v>
      </c>
      <c r="C588" s="117" t="s">
        <v>328</v>
      </c>
      <c r="D588" s="117">
        <v>1000000</v>
      </c>
      <c r="E588" s="117">
        <v>1</v>
      </c>
      <c r="F588" s="117">
        <v>529</v>
      </c>
      <c r="G588" s="118">
        <f>F588*D588</f>
        <v>529000000</v>
      </c>
      <c r="H588" s="48"/>
      <c r="I588" s="48"/>
      <c r="J588" s="48"/>
      <c r="K588" s="48"/>
      <c r="L588" s="48"/>
      <c r="M588" s="48"/>
    </row>
    <row r="589" spans="1:19" s="49" customFormat="1" ht="12" thickBot="1" x14ac:dyDescent="0.3">
      <c r="A589" s="91"/>
      <c r="B589" s="120"/>
      <c r="C589" s="92"/>
      <c r="D589" s="92"/>
      <c r="E589" s="92"/>
      <c r="F589" s="92"/>
      <c r="G589" s="93"/>
      <c r="H589" s="48"/>
      <c r="I589" s="48"/>
      <c r="J589" s="48"/>
      <c r="K589" s="48"/>
      <c r="L589" s="48"/>
      <c r="M589" s="48"/>
    </row>
    <row r="590" spans="1:19" s="49" customFormat="1" ht="12" thickBot="1" x14ac:dyDescent="0.3">
      <c r="A590" s="91"/>
      <c r="B590" s="120"/>
      <c r="C590" s="92" t="s">
        <v>140</v>
      </c>
      <c r="D590" s="92"/>
      <c r="E590" s="92"/>
      <c r="F590" s="92"/>
      <c r="G590" s="126">
        <f>SUM(G588:G589)</f>
        <v>529000000</v>
      </c>
      <c r="H590" s="127">
        <f>G590/8136</f>
        <v>65019.665683382496</v>
      </c>
      <c r="I590" s="48"/>
      <c r="J590" s="48"/>
      <c r="K590" s="48"/>
      <c r="L590" s="48"/>
      <c r="M590" s="48"/>
    </row>
    <row r="591" spans="1:19" s="49" customFormat="1" ht="12" thickBot="1" x14ac:dyDescent="0.3">
      <c r="A591" s="91"/>
      <c r="B591" s="120"/>
      <c r="C591" s="92"/>
      <c r="D591" s="92"/>
      <c r="E591" s="92"/>
      <c r="F591" s="92"/>
      <c r="G591" s="93"/>
      <c r="H591" s="48"/>
      <c r="I591" s="48"/>
      <c r="J591" s="48"/>
      <c r="K591" s="48"/>
      <c r="L591" s="48"/>
      <c r="M591" s="48"/>
    </row>
    <row r="592" spans="1:19" s="49" customFormat="1" x14ac:dyDescent="0.25">
      <c r="A592" s="125">
        <v>2.2999999999999998</v>
      </c>
      <c r="B592" s="116" t="s">
        <v>329</v>
      </c>
      <c r="C592" s="117" t="s">
        <v>39</v>
      </c>
      <c r="D592" s="117"/>
      <c r="E592" s="117"/>
      <c r="F592" s="117"/>
      <c r="G592" s="118">
        <f t="shared" ref="G592" si="85">D592*E592*F592</f>
        <v>0</v>
      </c>
      <c r="H592" s="48"/>
      <c r="I592" s="48"/>
      <c r="J592" s="48"/>
      <c r="K592" s="48"/>
      <c r="L592" s="48"/>
      <c r="M592" s="48"/>
    </row>
    <row r="593" spans="1:13" s="49" customFormat="1" ht="33.75" x14ac:dyDescent="0.25">
      <c r="A593" s="91"/>
      <c r="B593" s="61" t="s">
        <v>330</v>
      </c>
      <c r="C593" s="120" t="s">
        <v>331</v>
      </c>
      <c r="D593" s="92">
        <v>150000</v>
      </c>
      <c r="E593" s="92">
        <v>3</v>
      </c>
      <c r="F593" s="92">
        <v>5</v>
      </c>
      <c r="G593" s="93">
        <f>F593*E593*D593</f>
        <v>2250000</v>
      </c>
      <c r="H593" s="96"/>
      <c r="I593" s="48"/>
      <c r="J593" s="48"/>
      <c r="K593" s="48"/>
      <c r="L593" s="48"/>
      <c r="M593" s="48"/>
    </row>
    <row r="594" spans="1:13" s="49" customFormat="1" ht="22.5" x14ac:dyDescent="0.25">
      <c r="A594" s="91"/>
      <c r="C594" s="120" t="s">
        <v>332</v>
      </c>
      <c r="D594" s="92">
        <v>100000</v>
      </c>
      <c r="E594" s="92">
        <v>3</v>
      </c>
      <c r="F594" s="92">
        <v>6</v>
      </c>
      <c r="G594" s="93">
        <f t="shared" ref="G594" si="86">D594*E594*F594</f>
        <v>1800000</v>
      </c>
      <c r="H594" s="96"/>
      <c r="I594" s="48"/>
      <c r="J594" s="48"/>
      <c r="K594" s="48"/>
      <c r="L594" s="142"/>
      <c r="M594" s="48" t="s">
        <v>240</v>
      </c>
    </row>
    <row r="595" spans="1:13" s="49" customFormat="1" x14ac:dyDescent="0.25">
      <c r="A595" s="91"/>
      <c r="B595" s="61"/>
      <c r="C595" s="92" t="s">
        <v>333</v>
      </c>
      <c r="D595" s="92">
        <f>D593</f>
        <v>150000</v>
      </c>
      <c r="E595" s="92">
        <v>2</v>
      </c>
      <c r="F595" s="92">
        <v>1</v>
      </c>
      <c r="G595" s="93">
        <f>D595*E595*F595</f>
        <v>300000</v>
      </c>
      <c r="H595" s="96"/>
      <c r="I595" s="48"/>
      <c r="J595" s="48"/>
      <c r="K595" s="48"/>
      <c r="L595" s="48"/>
      <c r="M595" s="48"/>
    </row>
    <row r="596" spans="1:13" s="49" customFormat="1" x14ac:dyDescent="0.25">
      <c r="A596" s="91"/>
      <c r="B596" s="61"/>
      <c r="C596" s="92" t="s">
        <v>334</v>
      </c>
      <c r="D596" s="92">
        <f>D594</f>
        <v>100000</v>
      </c>
      <c r="E596" s="92">
        <v>2</v>
      </c>
      <c r="F596" s="92">
        <v>1</v>
      </c>
      <c r="G596" s="93">
        <f>D596*E596*F596</f>
        <v>200000</v>
      </c>
      <c r="H596" s="96"/>
      <c r="I596" s="48"/>
      <c r="J596" s="48"/>
      <c r="K596" s="48"/>
      <c r="L596" s="48"/>
      <c r="M596" s="48"/>
    </row>
    <row r="597" spans="1:13" s="49" customFormat="1" x14ac:dyDescent="0.25">
      <c r="A597" s="91"/>
      <c r="C597" s="92" t="s">
        <v>335</v>
      </c>
      <c r="D597" s="92">
        <v>100000</v>
      </c>
      <c r="E597" s="92">
        <v>4</v>
      </c>
      <c r="F597" s="92">
        <v>1</v>
      </c>
      <c r="G597" s="93">
        <f t="shared" ref="G597" si="87">D597*E597*F597</f>
        <v>400000</v>
      </c>
      <c r="H597" s="96"/>
      <c r="I597" s="48"/>
      <c r="J597" s="48"/>
      <c r="K597" s="48"/>
      <c r="L597" s="48"/>
      <c r="M597" s="48"/>
    </row>
    <row r="598" spans="1:13" s="49" customFormat="1" x14ac:dyDescent="0.25">
      <c r="A598" s="91"/>
      <c r="C598" s="92"/>
      <c r="D598" s="92"/>
      <c r="E598" s="92"/>
      <c r="F598" s="92"/>
      <c r="G598" s="93"/>
      <c r="H598" s="96"/>
      <c r="I598" s="48"/>
      <c r="J598" s="48"/>
      <c r="K598" s="48"/>
      <c r="L598" s="48"/>
      <c r="M598" s="48"/>
    </row>
    <row r="599" spans="1:13" s="97" customFormat="1" x14ac:dyDescent="0.25">
      <c r="A599" s="91"/>
      <c r="B599" s="61"/>
      <c r="C599" s="92" t="s">
        <v>336</v>
      </c>
      <c r="D599" s="92">
        <v>7000</v>
      </c>
      <c r="E599" s="92">
        <f>83/6</f>
        <v>13.833333333333334</v>
      </c>
      <c r="F599" s="92">
        <v>2</v>
      </c>
      <c r="G599" s="93">
        <f>F599*E599*D599</f>
        <v>193666.66666666669</v>
      </c>
      <c r="H599" s="96"/>
      <c r="I599" s="96"/>
      <c r="J599" s="96"/>
      <c r="K599" s="96"/>
      <c r="L599" s="96"/>
      <c r="M599" s="96"/>
    </row>
    <row r="600" spans="1:13" s="97" customFormat="1" x14ac:dyDescent="0.25">
      <c r="A600" s="91"/>
      <c r="B600" s="61"/>
      <c r="C600" s="92" t="s">
        <v>220</v>
      </c>
      <c r="D600" s="92">
        <v>7000</v>
      </c>
      <c r="E600" s="92">
        <v>4</v>
      </c>
      <c r="F600" s="92">
        <v>10</v>
      </c>
      <c r="G600" s="93">
        <f>F600*E600*D600</f>
        <v>280000</v>
      </c>
      <c r="H600" s="96"/>
      <c r="I600" s="96"/>
      <c r="J600" s="96"/>
      <c r="K600" s="96"/>
      <c r="L600" s="96"/>
      <c r="M600" s="96"/>
    </row>
    <row r="601" spans="1:13" s="49" customFormat="1" x14ac:dyDescent="0.25">
      <c r="A601" s="91"/>
      <c r="B601" s="61"/>
      <c r="C601" s="92" t="s">
        <v>337</v>
      </c>
      <c r="D601" s="92">
        <v>7000</v>
      </c>
      <c r="E601" s="92">
        <f>631/6</f>
        <v>105.16666666666667</v>
      </c>
      <c r="F601" s="92">
        <v>2</v>
      </c>
      <c r="G601" s="93">
        <f>F601*E601*D601</f>
        <v>1472333.3333333335</v>
      </c>
      <c r="H601" s="48"/>
      <c r="I601" s="48"/>
      <c r="J601" s="48"/>
      <c r="K601" s="48"/>
      <c r="L601" s="48"/>
      <c r="M601" s="48"/>
    </row>
    <row r="602" spans="1:13" s="97" customFormat="1" x14ac:dyDescent="0.25">
      <c r="A602" s="91"/>
      <c r="B602" s="61"/>
      <c r="C602" s="120" t="s">
        <v>139</v>
      </c>
      <c r="D602" s="92">
        <v>100</v>
      </c>
      <c r="E602" s="92">
        <v>1</v>
      </c>
      <c r="F602" s="92">
        <v>200</v>
      </c>
      <c r="G602" s="93">
        <f>D602*E602*F602</f>
        <v>20000</v>
      </c>
      <c r="H602" s="96"/>
      <c r="I602" s="96"/>
      <c r="J602" s="96"/>
      <c r="K602" s="96"/>
      <c r="L602" s="96"/>
      <c r="M602" s="96"/>
    </row>
    <row r="603" spans="1:13" s="97" customFormat="1" x14ac:dyDescent="0.25">
      <c r="A603" s="91"/>
      <c r="B603" s="61"/>
      <c r="C603" s="92" t="s">
        <v>138</v>
      </c>
      <c r="D603" s="92">
        <v>50000</v>
      </c>
      <c r="E603" s="92">
        <v>10</v>
      </c>
      <c r="F603" s="92">
        <v>1</v>
      </c>
      <c r="G603" s="93">
        <f t="shared" ref="G603" si="88">D603*E603*F603</f>
        <v>500000</v>
      </c>
      <c r="H603" s="96"/>
      <c r="I603" s="96"/>
      <c r="J603" s="96"/>
      <c r="K603" s="96"/>
      <c r="L603" s="96"/>
      <c r="M603" s="96"/>
    </row>
    <row r="604" spans="1:13" s="97" customFormat="1" ht="12" thickBot="1" x14ac:dyDescent="0.3">
      <c r="A604" s="91"/>
      <c r="B604" s="61"/>
      <c r="C604" s="92"/>
      <c r="D604" s="92"/>
      <c r="E604" s="92"/>
      <c r="F604" s="92"/>
      <c r="G604" s="93"/>
      <c r="H604" s="96"/>
      <c r="I604" s="96"/>
      <c r="J604" s="96"/>
      <c r="K604" s="96"/>
      <c r="L604" s="96"/>
      <c r="M604" s="96"/>
    </row>
    <row r="605" spans="1:13" s="49" customFormat="1" ht="12" thickBot="1" x14ac:dyDescent="0.3">
      <c r="A605" s="91"/>
      <c r="B605" s="120"/>
      <c r="C605" s="92" t="s">
        <v>140</v>
      </c>
      <c r="D605" s="92"/>
      <c r="E605" s="92"/>
      <c r="F605" s="92"/>
      <c r="G605" s="189">
        <f>G603+G602+G601+G600+G599+G597+G596+G595+G594+G593</f>
        <v>7416000</v>
      </c>
      <c r="H605" s="48"/>
      <c r="I605" s="48"/>
      <c r="J605" s="48"/>
      <c r="K605" s="48"/>
      <c r="L605" s="48"/>
      <c r="M605" s="48"/>
    </row>
    <row r="606" spans="1:13" s="49" customFormat="1" x14ac:dyDescent="0.25">
      <c r="A606" s="91"/>
      <c r="B606" s="120"/>
      <c r="C606" s="92"/>
      <c r="D606" s="92"/>
      <c r="E606" s="92"/>
      <c r="F606" s="92"/>
      <c r="G606" s="93"/>
      <c r="H606" s="48"/>
      <c r="I606" s="48"/>
      <c r="J606" s="48"/>
      <c r="K606" s="48"/>
      <c r="L606" s="48"/>
      <c r="M606" s="48"/>
    </row>
    <row r="607" spans="1:13" s="190" customFormat="1" ht="33.75" x14ac:dyDescent="0.15">
      <c r="B607" s="61" t="s">
        <v>338</v>
      </c>
      <c r="C607" s="120" t="s">
        <v>339</v>
      </c>
      <c r="D607" s="92">
        <v>150000</v>
      </c>
      <c r="E607" s="92">
        <v>3</v>
      </c>
      <c r="F607" s="92">
        <v>5</v>
      </c>
      <c r="G607" s="93">
        <f>F607*D607*E607</f>
        <v>2250000</v>
      </c>
      <c r="H607" s="191"/>
    </row>
    <row r="608" spans="1:13" s="190" customFormat="1" ht="22.5" x14ac:dyDescent="0.15">
      <c r="B608" s="61"/>
      <c r="C608" s="120" t="s">
        <v>340</v>
      </c>
      <c r="D608" s="92">
        <v>100000</v>
      </c>
      <c r="E608" s="92">
        <v>3</v>
      </c>
      <c r="F608" s="92">
        <v>6</v>
      </c>
      <c r="G608" s="93">
        <f>F608*D608*E608</f>
        <v>1800000</v>
      </c>
    </row>
    <row r="609" spans="2:8" s="190" customFormat="1" x14ac:dyDescent="0.15">
      <c r="C609" s="92" t="s">
        <v>333</v>
      </c>
      <c r="D609" s="92">
        <v>150000</v>
      </c>
      <c r="E609" s="92">
        <v>2</v>
      </c>
      <c r="F609" s="92">
        <v>1</v>
      </c>
      <c r="G609" s="93">
        <f>D609*E609*F609</f>
        <v>300000</v>
      </c>
      <c r="H609" s="191"/>
    </row>
    <row r="610" spans="2:8" s="190" customFormat="1" x14ac:dyDescent="0.15">
      <c r="C610" s="92" t="s">
        <v>334</v>
      </c>
      <c r="D610" s="92">
        <v>100000</v>
      </c>
      <c r="E610" s="92">
        <v>2</v>
      </c>
      <c r="F610" s="92">
        <v>1</v>
      </c>
      <c r="G610" s="93">
        <f>D610*E610*F610</f>
        <v>200000</v>
      </c>
      <c r="H610" s="191"/>
    </row>
    <row r="611" spans="2:8" s="190" customFormat="1" x14ac:dyDescent="0.15">
      <c r="C611" s="92" t="s">
        <v>335</v>
      </c>
      <c r="D611" s="92">
        <v>100000</v>
      </c>
      <c r="E611" s="92">
        <v>1</v>
      </c>
      <c r="F611" s="92">
        <v>4</v>
      </c>
      <c r="G611" s="93">
        <f>D611*E611*F611</f>
        <v>400000</v>
      </c>
    </row>
    <row r="612" spans="2:8" s="190" customFormat="1" x14ac:dyDescent="0.15">
      <c r="C612" s="92" t="s">
        <v>341</v>
      </c>
      <c r="D612" s="92">
        <v>7000</v>
      </c>
      <c r="E612" s="92">
        <f>56/6</f>
        <v>9.3333333333333339</v>
      </c>
      <c r="F612" s="92">
        <v>2</v>
      </c>
      <c r="G612" s="93">
        <f>F612*E612*D612</f>
        <v>130666.66666666667</v>
      </c>
      <c r="H612" s="191"/>
    </row>
    <row r="613" spans="2:8" s="192" customFormat="1" x14ac:dyDescent="0.15">
      <c r="C613" s="92" t="s">
        <v>220</v>
      </c>
      <c r="D613" s="92">
        <v>7000</v>
      </c>
      <c r="E613" s="92">
        <v>4</v>
      </c>
      <c r="F613" s="92">
        <v>10</v>
      </c>
      <c r="G613" s="93">
        <f>F613*E613*D613</f>
        <v>280000</v>
      </c>
      <c r="H613" s="193"/>
    </row>
    <row r="614" spans="2:8" s="190" customFormat="1" x14ac:dyDescent="0.15">
      <c r="C614" s="92" t="s">
        <v>342</v>
      </c>
      <c r="D614" s="92">
        <v>7000</v>
      </c>
      <c r="E614" s="92">
        <f>894/6</f>
        <v>149</v>
      </c>
      <c r="F614" s="92">
        <v>2</v>
      </c>
      <c r="G614" s="93">
        <f>F614*E614*D614</f>
        <v>2086000</v>
      </c>
      <c r="H614" s="191"/>
    </row>
    <row r="615" spans="2:8" s="190" customFormat="1" x14ac:dyDescent="0.15">
      <c r="C615" s="120" t="s">
        <v>139</v>
      </c>
      <c r="D615" s="92">
        <v>100</v>
      </c>
      <c r="E615" s="92">
        <v>1</v>
      </c>
      <c r="F615" s="92">
        <v>200</v>
      </c>
      <c r="G615" s="93">
        <f>D615*E615*F615</f>
        <v>20000</v>
      </c>
    </row>
    <row r="616" spans="2:8" s="190" customFormat="1" ht="12" thickBot="1" x14ac:dyDescent="0.2">
      <c r="C616" s="92"/>
      <c r="D616" s="92"/>
      <c r="E616" s="92"/>
      <c r="F616" s="92"/>
      <c r="G616" s="93"/>
    </row>
    <row r="617" spans="2:8" s="190" customFormat="1" ht="12" thickBot="1" x14ac:dyDescent="0.2">
      <c r="C617" s="92" t="s">
        <v>140</v>
      </c>
      <c r="D617" s="92"/>
      <c r="E617" s="92"/>
      <c r="F617" s="92"/>
      <c r="G617" s="189">
        <f>SUM(G607:G616)</f>
        <v>7466666.666666667</v>
      </c>
    </row>
    <row r="618" spans="2:8" s="190" customFormat="1" ht="78.75" x14ac:dyDescent="0.15">
      <c r="B618" s="61" t="s">
        <v>343</v>
      </c>
      <c r="C618" s="120" t="s">
        <v>344</v>
      </c>
      <c r="D618" s="92">
        <v>150000</v>
      </c>
      <c r="E618" s="92">
        <v>3</v>
      </c>
      <c r="F618" s="92">
        <v>5</v>
      </c>
      <c r="G618" s="93">
        <f>F618*D618*E618</f>
        <v>2250000</v>
      </c>
    </row>
    <row r="619" spans="2:8" s="190" customFormat="1" ht="22.5" x14ac:dyDescent="0.15">
      <c r="C619" s="120" t="s">
        <v>345</v>
      </c>
      <c r="D619" s="92">
        <v>100000</v>
      </c>
      <c r="E619" s="92">
        <v>3</v>
      </c>
      <c r="F619" s="92">
        <v>6</v>
      </c>
      <c r="G619" s="93">
        <f>F619*D619*E619</f>
        <v>1800000</v>
      </c>
      <c r="H619" s="191"/>
    </row>
    <row r="620" spans="2:8" s="190" customFormat="1" x14ac:dyDescent="0.15">
      <c r="C620" s="92" t="s">
        <v>333</v>
      </c>
      <c r="D620" s="92">
        <f>D618</f>
        <v>150000</v>
      </c>
      <c r="E620" s="92">
        <v>3</v>
      </c>
      <c r="F620" s="92">
        <v>1</v>
      </c>
      <c r="G620" s="93">
        <f>D620*E620*F620</f>
        <v>450000</v>
      </c>
      <c r="H620" s="191"/>
    </row>
    <row r="621" spans="2:8" s="190" customFormat="1" x14ac:dyDescent="0.15">
      <c r="C621" s="92" t="s">
        <v>334</v>
      </c>
      <c r="D621" s="92">
        <v>100000</v>
      </c>
      <c r="E621" s="92">
        <v>3</v>
      </c>
      <c r="F621" s="92">
        <v>1</v>
      </c>
      <c r="G621" s="93">
        <f t="shared" ref="G621:G626" si="89">F621*E621*D621</f>
        <v>300000</v>
      </c>
      <c r="H621" s="191"/>
    </row>
    <row r="622" spans="2:8" s="190" customFormat="1" x14ac:dyDescent="0.15">
      <c r="C622" s="92" t="s">
        <v>335</v>
      </c>
      <c r="D622" s="92">
        <v>100000</v>
      </c>
      <c r="E622" s="92">
        <v>8</v>
      </c>
      <c r="F622" s="92">
        <v>1</v>
      </c>
      <c r="G622" s="93">
        <f t="shared" si="89"/>
        <v>800000</v>
      </c>
      <c r="H622" s="191"/>
    </row>
    <row r="623" spans="2:8" s="192" customFormat="1" x14ac:dyDescent="0.15">
      <c r="C623" s="92" t="s">
        <v>220</v>
      </c>
      <c r="D623" s="92">
        <v>7000</v>
      </c>
      <c r="E623" s="92">
        <v>6</v>
      </c>
      <c r="F623" s="92">
        <v>10</v>
      </c>
      <c r="G623" s="93">
        <f t="shared" si="89"/>
        <v>420000</v>
      </c>
      <c r="H623" s="193"/>
    </row>
    <row r="624" spans="2:8" s="190" customFormat="1" x14ac:dyDescent="0.15">
      <c r="C624" s="92" t="s">
        <v>346</v>
      </c>
      <c r="D624" s="92">
        <v>7000</v>
      </c>
      <c r="E624" s="92">
        <f>675/6</f>
        <v>112.5</v>
      </c>
      <c r="F624" s="92">
        <v>1</v>
      </c>
      <c r="G624" s="93">
        <f t="shared" si="89"/>
        <v>787500</v>
      </c>
      <c r="H624" s="191"/>
    </row>
    <row r="625" spans="1:13" s="190" customFormat="1" x14ac:dyDescent="0.15">
      <c r="C625" s="92" t="s">
        <v>347</v>
      </c>
      <c r="D625" s="92">
        <v>7000</v>
      </c>
      <c r="E625" s="92">
        <f>212/6</f>
        <v>35.333333333333336</v>
      </c>
      <c r="F625" s="92">
        <v>1</v>
      </c>
      <c r="G625" s="93">
        <f t="shared" si="89"/>
        <v>247333.33333333334</v>
      </c>
      <c r="H625" s="191"/>
    </row>
    <row r="626" spans="1:13" s="190" customFormat="1" x14ac:dyDescent="0.15">
      <c r="C626" s="92" t="s">
        <v>348</v>
      </c>
      <c r="D626" s="92">
        <v>7000</v>
      </c>
      <c r="E626" s="92">
        <f>887/6</f>
        <v>147.83333333333334</v>
      </c>
      <c r="F626" s="92">
        <v>1</v>
      </c>
      <c r="G626" s="93">
        <f t="shared" si="89"/>
        <v>1034833.3333333334</v>
      </c>
      <c r="H626" s="191"/>
    </row>
    <row r="627" spans="1:13" s="190" customFormat="1" x14ac:dyDescent="0.15">
      <c r="C627" s="120" t="s">
        <v>139</v>
      </c>
      <c r="D627" s="92">
        <v>100</v>
      </c>
      <c r="E627" s="92">
        <v>1</v>
      </c>
      <c r="F627" s="92">
        <v>200</v>
      </c>
      <c r="G627" s="93">
        <f>D627*E627*F627</f>
        <v>20000</v>
      </c>
    </row>
    <row r="628" spans="1:13" s="190" customFormat="1" x14ac:dyDescent="0.15">
      <c r="C628" s="92"/>
      <c r="D628" s="92"/>
      <c r="E628" s="92"/>
      <c r="F628" s="92"/>
      <c r="G628" s="93"/>
    </row>
    <row r="629" spans="1:13" s="190" customFormat="1" ht="12" thickBot="1" x14ac:dyDescent="0.2">
      <c r="C629" s="92" t="s">
        <v>140</v>
      </c>
      <c r="D629" s="92"/>
      <c r="E629" s="92"/>
      <c r="F629" s="92"/>
      <c r="G629" s="194">
        <f>SUM(G618:G628)</f>
        <v>8109666.666666666</v>
      </c>
    </row>
    <row r="630" spans="1:13" s="190" customFormat="1" x14ac:dyDescent="0.15">
      <c r="C630" s="92" t="s">
        <v>349</v>
      </c>
      <c r="G630" s="195">
        <f>G629+G617+G605</f>
        <v>22992333.333333332</v>
      </c>
      <c r="H630" s="196">
        <f>G630/8136</f>
        <v>2825.9996722386099</v>
      </c>
    </row>
    <row r="631" spans="1:13" s="190" customFormat="1" ht="12" thickBot="1" x14ac:dyDescent="0.2"/>
    <row r="632" spans="1:13" s="49" customFormat="1" ht="33.75" x14ac:dyDescent="0.25">
      <c r="A632" s="197">
        <v>2.4</v>
      </c>
      <c r="B632" s="116" t="s">
        <v>350</v>
      </c>
      <c r="C632" s="117" t="s">
        <v>39</v>
      </c>
      <c r="D632" s="117">
        <v>150000</v>
      </c>
      <c r="E632" s="117">
        <v>1</v>
      </c>
      <c r="F632" s="117">
        <v>1</v>
      </c>
      <c r="G632" s="118">
        <f t="shared" ref="G632" si="90">D632*E632*F632</f>
        <v>150000</v>
      </c>
      <c r="H632" s="48"/>
      <c r="I632" s="48"/>
      <c r="J632" s="48"/>
      <c r="K632" s="48"/>
      <c r="L632" s="48"/>
      <c r="M632" s="48"/>
    </row>
    <row r="633" spans="1:13" s="49" customFormat="1" x14ac:dyDescent="0.25">
      <c r="A633" s="91"/>
      <c r="B633" s="61" t="s">
        <v>351</v>
      </c>
      <c r="C633" s="92" t="s">
        <v>155</v>
      </c>
      <c r="D633" s="92">
        <v>170000</v>
      </c>
      <c r="E633" s="92">
        <v>1</v>
      </c>
      <c r="F633" s="92">
        <v>2</v>
      </c>
      <c r="G633" s="93">
        <f>D633*E633*F633</f>
        <v>340000</v>
      </c>
      <c r="H633" s="48"/>
      <c r="I633" s="48"/>
      <c r="J633" s="48"/>
      <c r="K633" s="48"/>
      <c r="L633" s="48"/>
      <c r="M633" s="48"/>
    </row>
    <row r="634" spans="1:13" s="49" customFormat="1" x14ac:dyDescent="0.25">
      <c r="A634" s="91"/>
      <c r="B634" s="61" t="s">
        <v>238</v>
      </c>
      <c r="C634" s="92" t="s">
        <v>157</v>
      </c>
      <c r="D634" s="92">
        <v>100000</v>
      </c>
      <c r="E634" s="92">
        <v>1</v>
      </c>
      <c r="F634" s="92">
        <v>3</v>
      </c>
      <c r="G634" s="93">
        <f t="shared" ref="G634" si="91">D634*E634*F634</f>
        <v>300000</v>
      </c>
      <c r="H634" s="48"/>
      <c r="I634" s="48"/>
      <c r="J634" s="48"/>
      <c r="K634" s="48"/>
      <c r="L634" s="48"/>
      <c r="M634" s="48"/>
    </row>
    <row r="635" spans="1:13" s="49" customFormat="1" x14ac:dyDescent="0.25">
      <c r="A635" s="91"/>
      <c r="B635" s="61" t="s">
        <v>239</v>
      </c>
      <c r="C635" s="92" t="s">
        <v>159</v>
      </c>
      <c r="D635" s="92">
        <v>150000</v>
      </c>
      <c r="E635" s="92">
        <v>1</v>
      </c>
      <c r="F635" s="92">
        <v>2</v>
      </c>
      <c r="G635" s="93">
        <f>D635*E635*F635</f>
        <v>300000</v>
      </c>
      <c r="H635" s="96"/>
      <c r="I635" s="48"/>
      <c r="J635" s="48"/>
      <c r="K635" s="48"/>
      <c r="L635" s="48"/>
      <c r="M635" s="48"/>
    </row>
    <row r="636" spans="1:13" s="49" customFormat="1" x14ac:dyDescent="0.25">
      <c r="A636" s="91"/>
      <c r="B636" s="130"/>
      <c r="C636" s="92" t="s">
        <v>160</v>
      </c>
      <c r="D636" s="92">
        <v>100000</v>
      </c>
      <c r="E636" s="92">
        <f>E635</f>
        <v>1</v>
      </c>
      <c r="F636" s="92">
        <v>3</v>
      </c>
      <c r="G636" s="93">
        <f t="shared" ref="G636:G652" si="92">D636*E636*F636</f>
        <v>300000</v>
      </c>
      <c r="H636" s="96"/>
      <c r="I636" s="48"/>
      <c r="J636" s="48"/>
      <c r="K636" s="48"/>
      <c r="L636" s="48"/>
      <c r="M636" s="48"/>
    </row>
    <row r="637" spans="1:13" s="49" customFormat="1" ht="33.75" x14ac:dyDescent="0.25">
      <c r="A637" s="91"/>
      <c r="B637" s="130"/>
      <c r="C637" s="120" t="s">
        <v>203</v>
      </c>
      <c r="D637" s="92">
        <f>D635</f>
        <v>150000</v>
      </c>
      <c r="E637" s="92">
        <v>5</v>
      </c>
      <c r="F637" s="92">
        <v>2</v>
      </c>
      <c r="G637" s="93">
        <f t="shared" si="92"/>
        <v>1500000</v>
      </c>
      <c r="H637" s="96"/>
      <c r="I637" s="48"/>
      <c r="J637" s="48"/>
      <c r="K637" s="48"/>
      <c r="L637" s="48"/>
      <c r="M637" s="48"/>
    </row>
    <row r="638" spans="1:13" s="49" customFormat="1" ht="33.75" x14ac:dyDescent="0.25">
      <c r="A638" s="91"/>
      <c r="C638" s="120" t="s">
        <v>162</v>
      </c>
      <c r="D638" s="92">
        <v>100000</v>
      </c>
      <c r="E638" s="92">
        <f>E637</f>
        <v>5</v>
      </c>
      <c r="F638" s="92">
        <v>3</v>
      </c>
      <c r="G638" s="93">
        <f t="shared" si="92"/>
        <v>1500000</v>
      </c>
      <c r="H638" s="96"/>
      <c r="I638" s="48"/>
      <c r="J638" s="48"/>
      <c r="K638" s="48"/>
      <c r="L638" s="142"/>
      <c r="M638" s="48" t="s">
        <v>240</v>
      </c>
    </row>
    <row r="639" spans="1:13" s="49" customFormat="1" x14ac:dyDescent="0.25">
      <c r="A639" s="91"/>
      <c r="C639" s="92" t="s">
        <v>163</v>
      </c>
      <c r="D639" s="92">
        <f>D637</f>
        <v>150000</v>
      </c>
      <c r="E639" s="92">
        <v>2</v>
      </c>
      <c r="F639" s="92">
        <v>2</v>
      </c>
      <c r="G639" s="93">
        <f t="shared" si="92"/>
        <v>600000</v>
      </c>
      <c r="H639" s="96"/>
      <c r="I639" s="48"/>
      <c r="J639" s="48"/>
      <c r="K639" s="48"/>
      <c r="L639" s="48"/>
      <c r="M639" s="48"/>
    </row>
    <row r="640" spans="1:13" s="49" customFormat="1" x14ac:dyDescent="0.25">
      <c r="A640" s="91"/>
      <c r="C640" s="92" t="s">
        <v>164</v>
      </c>
      <c r="D640" s="92">
        <v>100000</v>
      </c>
      <c r="E640" s="92">
        <v>2</v>
      </c>
      <c r="F640" s="92">
        <v>3</v>
      </c>
      <c r="G640" s="93">
        <f t="shared" si="92"/>
        <v>600000</v>
      </c>
      <c r="H640" s="96"/>
      <c r="I640" s="48"/>
      <c r="J640" s="48"/>
      <c r="K640" s="48"/>
      <c r="L640" s="48"/>
      <c r="M640" s="48"/>
    </row>
    <row r="641" spans="1:13" s="49" customFormat="1" x14ac:dyDescent="0.25">
      <c r="A641" s="91"/>
      <c r="C641" s="92" t="s">
        <v>165</v>
      </c>
      <c r="D641" s="92">
        <f>D639</f>
        <v>150000</v>
      </c>
      <c r="E641" s="92">
        <v>5</v>
      </c>
      <c r="F641" s="92">
        <v>2</v>
      </c>
      <c r="G641" s="93">
        <f t="shared" si="92"/>
        <v>1500000</v>
      </c>
      <c r="H641" s="96"/>
      <c r="I641" s="48"/>
      <c r="J641" s="48"/>
      <c r="K641" s="48"/>
      <c r="L641" s="48"/>
      <c r="M641" s="48"/>
    </row>
    <row r="642" spans="1:13" s="49" customFormat="1" x14ac:dyDescent="0.25">
      <c r="A642" s="91"/>
      <c r="C642" s="92" t="s">
        <v>166</v>
      </c>
      <c r="D642" s="92">
        <v>100000</v>
      </c>
      <c r="E642" s="92">
        <f>E641</f>
        <v>5</v>
      </c>
      <c r="F642" s="92">
        <v>3</v>
      </c>
      <c r="G642" s="93">
        <f t="shared" si="92"/>
        <v>1500000</v>
      </c>
      <c r="H642" s="96"/>
      <c r="I642" s="48"/>
      <c r="J642" s="48"/>
      <c r="K642" s="48"/>
      <c r="L642" s="48"/>
      <c r="M642" s="48"/>
    </row>
    <row r="643" spans="1:13" s="49" customFormat="1" x14ac:dyDescent="0.25">
      <c r="A643" s="91"/>
      <c r="C643" s="92" t="s">
        <v>167</v>
      </c>
      <c r="D643" s="92">
        <f>D641</f>
        <v>150000</v>
      </c>
      <c r="E643" s="92">
        <v>1</v>
      </c>
      <c r="F643" s="92">
        <v>2</v>
      </c>
      <c r="G643" s="93">
        <f t="shared" si="92"/>
        <v>300000</v>
      </c>
      <c r="H643" s="93"/>
      <c r="I643" s="92"/>
      <c r="J643" s="48"/>
      <c r="K643" s="48"/>
      <c r="L643" s="48"/>
      <c r="M643" s="48"/>
    </row>
    <row r="644" spans="1:13" s="49" customFormat="1" x14ac:dyDescent="0.25">
      <c r="A644" s="91"/>
      <c r="C644" s="92" t="s">
        <v>168</v>
      </c>
      <c r="D644" s="92">
        <v>100000</v>
      </c>
      <c r="E644" s="92">
        <f>E643</f>
        <v>1</v>
      </c>
      <c r="F644" s="92">
        <v>3</v>
      </c>
      <c r="G644" s="93">
        <f t="shared" si="92"/>
        <v>300000</v>
      </c>
      <c r="H644" s="96"/>
      <c r="I644" s="120"/>
      <c r="J644" s="48"/>
      <c r="K644" s="48"/>
      <c r="L644" s="48"/>
      <c r="M644" s="48"/>
    </row>
    <row r="645" spans="1:13" s="49" customFormat="1" x14ac:dyDescent="0.25">
      <c r="A645" s="91"/>
      <c r="C645" s="92" t="s">
        <v>169</v>
      </c>
      <c r="D645" s="92">
        <f>D643</f>
        <v>150000</v>
      </c>
      <c r="E645" s="92">
        <f>3*2</f>
        <v>6</v>
      </c>
      <c r="F645" s="92">
        <v>4</v>
      </c>
      <c r="G645" s="93">
        <f t="shared" si="92"/>
        <v>3600000</v>
      </c>
      <c r="H645" s="96"/>
      <c r="I645" s="96"/>
      <c r="J645" s="48"/>
      <c r="K645" s="48"/>
      <c r="L645" s="48"/>
      <c r="M645" s="48"/>
    </row>
    <row r="646" spans="1:13" s="49" customFormat="1" x14ac:dyDescent="0.25">
      <c r="A646" s="91"/>
      <c r="C646" s="92" t="s">
        <v>170</v>
      </c>
      <c r="D646" s="92">
        <v>100000</v>
      </c>
      <c r="E646" s="92">
        <f>E645</f>
        <v>6</v>
      </c>
      <c r="F646" s="92">
        <v>5</v>
      </c>
      <c r="G646" s="93">
        <f t="shared" si="92"/>
        <v>3000000</v>
      </c>
      <c r="H646" s="96"/>
      <c r="I646" s="92"/>
      <c r="J646" s="48"/>
      <c r="K646" s="48"/>
      <c r="L646" s="48"/>
      <c r="M646" s="48"/>
    </row>
    <row r="647" spans="1:13" s="49" customFormat="1" x14ac:dyDescent="0.25">
      <c r="A647" s="91"/>
      <c r="C647" s="92" t="s">
        <v>171</v>
      </c>
      <c r="D647" s="92">
        <f>D645</f>
        <v>150000</v>
      </c>
      <c r="E647" s="92">
        <f>3*1</f>
        <v>3</v>
      </c>
      <c r="F647" s="92">
        <v>4</v>
      </c>
      <c r="G647" s="93">
        <f t="shared" si="92"/>
        <v>1800000</v>
      </c>
      <c r="H647" s="96"/>
      <c r="I647" s="96"/>
      <c r="J647" s="48"/>
      <c r="K647" s="48"/>
      <c r="L647" s="48"/>
      <c r="M647" s="48"/>
    </row>
    <row r="648" spans="1:13" s="49" customFormat="1" x14ac:dyDescent="0.25">
      <c r="A648" s="91"/>
      <c r="C648" s="92" t="s">
        <v>172</v>
      </c>
      <c r="D648" s="92">
        <v>100000</v>
      </c>
      <c r="E648" s="92">
        <f>E647</f>
        <v>3</v>
      </c>
      <c r="F648" s="92">
        <v>5</v>
      </c>
      <c r="G648" s="93">
        <f t="shared" si="92"/>
        <v>1500000</v>
      </c>
      <c r="H648" s="96"/>
      <c r="I648" s="96"/>
      <c r="J648" s="48"/>
      <c r="K648" s="48"/>
      <c r="L648" s="48"/>
      <c r="M648" s="48"/>
    </row>
    <row r="649" spans="1:13" s="49" customFormat="1" x14ac:dyDescent="0.25">
      <c r="A649" s="91"/>
      <c r="C649" s="92" t="s">
        <v>173</v>
      </c>
      <c r="D649" s="92">
        <f>D647</f>
        <v>150000</v>
      </c>
      <c r="E649" s="92">
        <f>13*2</f>
        <v>26</v>
      </c>
      <c r="F649" s="92">
        <v>3</v>
      </c>
      <c r="G649" s="93">
        <f t="shared" si="92"/>
        <v>11700000</v>
      </c>
      <c r="H649" s="48"/>
      <c r="I649" s="96"/>
      <c r="J649" s="48"/>
      <c r="K649" s="48"/>
      <c r="L649" s="48"/>
      <c r="M649" s="48"/>
    </row>
    <row r="650" spans="1:13" s="49" customFormat="1" x14ac:dyDescent="0.25">
      <c r="A650" s="91"/>
      <c r="C650" s="92" t="s">
        <v>174</v>
      </c>
      <c r="D650" s="92">
        <v>100000</v>
      </c>
      <c r="E650" s="92">
        <f>E649</f>
        <v>26</v>
      </c>
      <c r="F650" s="92">
        <v>4</v>
      </c>
      <c r="G650" s="93">
        <f t="shared" si="92"/>
        <v>10400000</v>
      </c>
      <c r="H650" s="48"/>
      <c r="I650" s="96"/>
      <c r="J650" s="48"/>
      <c r="K650" s="48"/>
      <c r="L650" s="48"/>
      <c r="M650" s="48"/>
    </row>
    <row r="651" spans="1:13" s="49" customFormat="1" x14ac:dyDescent="0.25">
      <c r="A651" s="91"/>
      <c r="C651" s="92" t="s">
        <v>175</v>
      </c>
      <c r="D651" s="92">
        <f>D649</f>
        <v>150000</v>
      </c>
      <c r="E651" s="92">
        <f>13*1</f>
        <v>13</v>
      </c>
      <c r="F651" s="92">
        <v>3</v>
      </c>
      <c r="G651" s="93">
        <f t="shared" si="92"/>
        <v>5850000</v>
      </c>
      <c r="H651" s="48"/>
      <c r="I651" s="48"/>
      <c r="J651" s="48"/>
      <c r="K651" s="48"/>
      <c r="L651" s="48"/>
      <c r="M651" s="48"/>
    </row>
    <row r="652" spans="1:13" s="49" customFormat="1" x14ac:dyDescent="0.25">
      <c r="A652" s="91"/>
      <c r="C652" s="92" t="s">
        <v>176</v>
      </c>
      <c r="D652" s="92">
        <v>100000</v>
      </c>
      <c r="E652" s="92">
        <f>E651</f>
        <v>13</v>
      </c>
      <c r="F652" s="92">
        <v>4</v>
      </c>
      <c r="G652" s="93">
        <f t="shared" si="92"/>
        <v>5200000</v>
      </c>
      <c r="H652" s="48"/>
      <c r="I652" s="48"/>
      <c r="J652" s="48"/>
      <c r="K652" s="48"/>
      <c r="L652" s="48"/>
      <c r="M652" s="48"/>
    </row>
    <row r="653" spans="1:13" s="132" customFormat="1" x14ac:dyDescent="0.25">
      <c r="A653" s="91"/>
      <c r="B653" s="61"/>
      <c r="C653" s="92" t="s">
        <v>352</v>
      </c>
      <c r="D653" s="92">
        <f>7000</f>
        <v>7000</v>
      </c>
      <c r="E653" s="92">
        <v>23</v>
      </c>
      <c r="F653" s="92">
        <v>2</v>
      </c>
      <c r="G653" s="93">
        <v>319667</v>
      </c>
      <c r="H653" s="131"/>
      <c r="I653" s="131"/>
      <c r="J653" s="131"/>
      <c r="K653" s="131"/>
      <c r="L653" s="131"/>
      <c r="M653" s="131"/>
    </row>
    <row r="654" spans="1:13" s="132" customFormat="1" x14ac:dyDescent="0.25">
      <c r="A654" s="91"/>
      <c r="B654" s="61"/>
      <c r="C654" s="92" t="s">
        <v>353</v>
      </c>
      <c r="D654" s="92">
        <f>7000</f>
        <v>7000</v>
      </c>
      <c r="E654" s="92">
        <v>10</v>
      </c>
      <c r="F654" s="92">
        <v>2</v>
      </c>
      <c r="G654" s="93">
        <v>142333</v>
      </c>
      <c r="H654" s="131"/>
      <c r="I654" s="131"/>
      <c r="J654" s="131"/>
      <c r="K654" s="131"/>
      <c r="L654" s="131"/>
      <c r="M654" s="131"/>
    </row>
    <row r="655" spans="1:13" s="97" customFormat="1" x14ac:dyDescent="0.25">
      <c r="A655" s="91"/>
      <c r="B655" s="61"/>
      <c r="C655" s="92" t="s">
        <v>179</v>
      </c>
      <c r="D655" s="92">
        <v>7000</v>
      </c>
      <c r="E655" s="92">
        <v>126</v>
      </c>
      <c r="F655" s="92">
        <v>2</v>
      </c>
      <c r="G655" s="93">
        <v>1766333</v>
      </c>
      <c r="H655" s="96"/>
      <c r="I655" s="96"/>
      <c r="J655" s="96"/>
      <c r="K655" s="96"/>
      <c r="L655" s="96"/>
      <c r="M655" s="96"/>
    </row>
    <row r="656" spans="1:13" s="97" customFormat="1" x14ac:dyDescent="0.25">
      <c r="A656" s="91"/>
      <c r="B656" s="61"/>
      <c r="C656" s="92" t="s">
        <v>354</v>
      </c>
      <c r="D656" s="92">
        <v>7000</v>
      </c>
      <c r="E656" s="92">
        <v>113</v>
      </c>
      <c r="F656" s="92">
        <v>2</v>
      </c>
      <c r="G656" s="93">
        <v>1586667</v>
      </c>
      <c r="H656" s="96"/>
      <c r="I656" s="96"/>
      <c r="J656" s="96"/>
      <c r="K656" s="96"/>
      <c r="L656" s="96"/>
      <c r="M656" s="96"/>
    </row>
    <row r="657" spans="1:13" s="97" customFormat="1" x14ac:dyDescent="0.25">
      <c r="A657" s="91"/>
      <c r="B657" s="61"/>
      <c r="C657" s="92" t="s">
        <v>355</v>
      </c>
      <c r="D657" s="92">
        <v>7000</v>
      </c>
      <c r="E657" s="92">
        <v>95</v>
      </c>
      <c r="F657" s="92">
        <v>2</v>
      </c>
      <c r="G657" s="93">
        <v>1325333</v>
      </c>
      <c r="H657" s="96"/>
      <c r="I657" s="96"/>
      <c r="J657" s="96"/>
      <c r="K657" s="96"/>
      <c r="L657" s="96"/>
      <c r="M657" s="96"/>
    </row>
    <row r="658" spans="1:13" s="97" customFormat="1" x14ac:dyDescent="0.25">
      <c r="A658" s="91"/>
      <c r="B658" s="61"/>
      <c r="C658" s="92" t="s">
        <v>356</v>
      </c>
      <c r="D658" s="92">
        <v>7000</v>
      </c>
      <c r="E658" s="92">
        <v>128</v>
      </c>
      <c r="F658" s="92">
        <v>2</v>
      </c>
      <c r="G658" s="93">
        <f>D658*E658*F658</f>
        <v>1792000</v>
      </c>
      <c r="H658" s="96"/>
      <c r="I658" s="96"/>
      <c r="J658" s="96"/>
      <c r="K658" s="96"/>
      <c r="L658" s="96"/>
      <c r="M658" s="96"/>
    </row>
    <row r="659" spans="1:13" s="49" customFormat="1" x14ac:dyDescent="0.25">
      <c r="A659" s="91"/>
      <c r="B659" s="61"/>
      <c r="C659" s="92" t="s">
        <v>357</v>
      </c>
      <c r="D659" s="92">
        <v>7000</v>
      </c>
      <c r="E659" s="92">
        <v>146</v>
      </c>
      <c r="F659" s="92">
        <v>2</v>
      </c>
      <c r="G659" s="93">
        <v>2048000</v>
      </c>
      <c r="H659" s="48"/>
      <c r="I659" s="48"/>
      <c r="J659" s="48"/>
      <c r="K659" s="48"/>
      <c r="L659" s="48"/>
      <c r="M659" s="48"/>
    </row>
    <row r="660" spans="1:13" s="49" customFormat="1" x14ac:dyDescent="0.25">
      <c r="A660" s="91"/>
      <c r="B660" s="61"/>
      <c r="C660" s="92" t="s">
        <v>358</v>
      </c>
      <c r="D660" s="92">
        <v>7000</v>
      </c>
      <c r="E660" s="92">
        <v>116</v>
      </c>
      <c r="F660" s="92">
        <v>2</v>
      </c>
      <c r="G660" s="93">
        <f>D660*E660*F660</f>
        <v>1624000</v>
      </c>
      <c r="H660" s="48"/>
      <c r="I660" s="48"/>
      <c r="J660" s="48"/>
      <c r="K660" s="48"/>
      <c r="L660" s="48"/>
      <c r="M660" s="48"/>
    </row>
    <row r="661" spans="1:13" s="49" customFormat="1" x14ac:dyDescent="0.25">
      <c r="A661" s="91"/>
      <c r="B661" s="61"/>
      <c r="C661" s="92" t="s">
        <v>185</v>
      </c>
      <c r="D661" s="92">
        <v>7000</v>
      </c>
      <c r="E661" s="92">
        <v>117</v>
      </c>
      <c r="F661" s="92">
        <v>2</v>
      </c>
      <c r="G661" s="93">
        <v>1634000</v>
      </c>
      <c r="H661" s="48"/>
      <c r="I661" s="48"/>
      <c r="J661" s="48"/>
      <c r="K661" s="48"/>
      <c r="L661" s="48"/>
      <c r="M661" s="48"/>
    </row>
    <row r="662" spans="1:13" s="49" customFormat="1" x14ac:dyDescent="0.25">
      <c r="A662" s="91"/>
      <c r="B662" s="61"/>
      <c r="C662" s="92" t="s">
        <v>359</v>
      </c>
      <c r="D662" s="92">
        <v>7000</v>
      </c>
      <c r="E662" s="92">
        <v>88</v>
      </c>
      <c r="F662" s="92">
        <v>2</v>
      </c>
      <c r="G662" s="93">
        <f>D662*E662*F662</f>
        <v>1232000</v>
      </c>
      <c r="H662" s="48"/>
      <c r="I662" s="48"/>
      <c r="J662" s="48"/>
      <c r="K662" s="48"/>
      <c r="L662" s="48"/>
      <c r="M662" s="48"/>
    </row>
    <row r="663" spans="1:13" s="49" customFormat="1" x14ac:dyDescent="0.25">
      <c r="A663" s="91"/>
      <c r="B663" s="61"/>
      <c r="C663" s="92" t="s">
        <v>360</v>
      </c>
      <c r="D663" s="92">
        <v>7000</v>
      </c>
      <c r="E663" s="92">
        <v>72</v>
      </c>
      <c r="F663" s="92">
        <v>2</v>
      </c>
      <c r="G663" s="93">
        <v>1036000</v>
      </c>
      <c r="H663" s="48"/>
      <c r="I663" s="48"/>
      <c r="J663" s="48"/>
      <c r="K663" s="48"/>
      <c r="L663" s="48"/>
      <c r="M663" s="48"/>
    </row>
    <row r="664" spans="1:13" s="97" customFormat="1" x14ac:dyDescent="0.25">
      <c r="A664" s="91"/>
      <c r="B664" s="61"/>
      <c r="C664" s="92" t="s">
        <v>361</v>
      </c>
      <c r="D664" s="92">
        <v>7000</v>
      </c>
      <c r="E664" s="92">
        <v>41</v>
      </c>
      <c r="F664" s="92">
        <v>2</v>
      </c>
      <c r="G664" s="93">
        <v>578667</v>
      </c>
      <c r="H664" s="96"/>
      <c r="I664" s="96"/>
      <c r="J664" s="96"/>
      <c r="K664" s="96"/>
      <c r="L664" s="96"/>
      <c r="M664" s="96"/>
    </row>
    <row r="665" spans="1:13" s="97" customFormat="1" x14ac:dyDescent="0.25">
      <c r="A665" s="91"/>
      <c r="B665" s="61"/>
      <c r="C665" s="92" t="s">
        <v>362</v>
      </c>
      <c r="D665" s="92">
        <v>7000</v>
      </c>
      <c r="E665" s="92">
        <v>52</v>
      </c>
      <c r="F665" s="92">
        <v>2</v>
      </c>
      <c r="G665" s="93">
        <v>723333</v>
      </c>
      <c r="H665" s="96"/>
      <c r="I665" s="96"/>
      <c r="J665" s="96"/>
      <c r="K665" s="96"/>
      <c r="L665" s="96"/>
      <c r="M665" s="96"/>
    </row>
    <row r="666" spans="1:13" s="97" customFormat="1" x14ac:dyDescent="0.25">
      <c r="A666" s="91"/>
      <c r="B666" s="61"/>
      <c r="C666" s="92" t="s">
        <v>363</v>
      </c>
      <c r="D666" s="92">
        <v>7000</v>
      </c>
      <c r="E666" s="92">
        <v>134</v>
      </c>
      <c r="F666" s="92">
        <v>2</v>
      </c>
      <c r="G666" s="93">
        <v>1880000</v>
      </c>
      <c r="H666" s="96"/>
      <c r="I666" s="96"/>
      <c r="J666" s="96"/>
      <c r="K666" s="96"/>
      <c r="L666" s="96"/>
      <c r="M666" s="96"/>
    </row>
    <row r="667" spans="1:13" s="97" customFormat="1" x14ac:dyDescent="0.25">
      <c r="A667" s="91"/>
      <c r="B667" s="61"/>
      <c r="C667" s="92" t="s">
        <v>364</v>
      </c>
      <c r="D667" s="92">
        <v>7000</v>
      </c>
      <c r="E667" s="92">
        <v>57</v>
      </c>
      <c r="F667" s="92">
        <v>2</v>
      </c>
      <c r="G667" s="93">
        <f>D667*E667*F667</f>
        <v>798000</v>
      </c>
      <c r="H667" s="96"/>
      <c r="I667" s="96"/>
      <c r="J667" s="96"/>
      <c r="K667" s="96"/>
      <c r="L667" s="96"/>
      <c r="M667" s="96"/>
    </row>
    <row r="668" spans="1:13" s="97" customFormat="1" x14ac:dyDescent="0.25">
      <c r="A668" s="91"/>
      <c r="B668" s="61"/>
      <c r="C668" s="92" t="s">
        <v>365</v>
      </c>
      <c r="D668" s="92">
        <v>7000</v>
      </c>
      <c r="E668" s="92">
        <v>40</v>
      </c>
      <c r="F668" s="92">
        <v>2</v>
      </c>
      <c r="G668" s="93">
        <v>566000</v>
      </c>
      <c r="H668" s="96"/>
      <c r="I668" s="96"/>
      <c r="J668" s="96"/>
      <c r="K668" s="96"/>
      <c r="L668" s="96"/>
      <c r="M668" s="96"/>
    </row>
    <row r="669" spans="1:13" s="49" customFormat="1" x14ac:dyDescent="0.25">
      <c r="A669" s="91"/>
      <c r="B669" s="61"/>
      <c r="C669" s="92" t="s">
        <v>366</v>
      </c>
      <c r="D669" s="92">
        <v>7000</v>
      </c>
      <c r="E669" s="92">
        <v>68</v>
      </c>
      <c r="F669" s="92">
        <v>2</v>
      </c>
      <c r="G669" s="93">
        <v>948000</v>
      </c>
      <c r="H669" s="48"/>
      <c r="I669" s="48"/>
      <c r="J669" s="48"/>
      <c r="K669" s="48"/>
      <c r="L669" s="48"/>
      <c r="M669" s="48"/>
    </row>
    <row r="670" spans="1:13" s="49" customFormat="1" x14ac:dyDescent="0.25">
      <c r="A670" s="91"/>
      <c r="B670" s="61"/>
      <c r="C670" s="92" t="s">
        <v>367</v>
      </c>
      <c r="D670" s="92">
        <v>7000</v>
      </c>
      <c r="E670" s="92">
        <v>87</v>
      </c>
      <c r="F670" s="92">
        <v>2</v>
      </c>
      <c r="G670" s="93">
        <v>1216000</v>
      </c>
      <c r="H670" s="48"/>
      <c r="I670" s="48"/>
      <c r="J670" s="48"/>
      <c r="K670" s="48"/>
      <c r="L670" s="48"/>
      <c r="M670" s="48"/>
    </row>
    <row r="671" spans="1:13" s="97" customFormat="1" x14ac:dyDescent="0.25">
      <c r="A671" s="91"/>
      <c r="B671" s="61"/>
      <c r="C671" s="92" t="s">
        <v>368</v>
      </c>
      <c r="D671" s="92">
        <v>7000</v>
      </c>
      <c r="E671" s="92">
        <v>23</v>
      </c>
      <c r="F671" s="92">
        <v>4</v>
      </c>
      <c r="G671" s="93">
        <v>639333</v>
      </c>
      <c r="H671" s="96"/>
      <c r="I671" s="96"/>
      <c r="J671" s="96"/>
      <c r="K671" s="96"/>
      <c r="L671" s="96"/>
      <c r="M671" s="96"/>
    </row>
    <row r="672" spans="1:13" s="97" customFormat="1" x14ac:dyDescent="0.25">
      <c r="A672" s="91"/>
      <c r="B672" s="61"/>
      <c r="C672" s="92" t="s">
        <v>230</v>
      </c>
      <c r="D672" s="92">
        <f>7000</f>
        <v>7000</v>
      </c>
      <c r="E672" s="92">
        <v>20</v>
      </c>
      <c r="F672" s="92">
        <v>2</v>
      </c>
      <c r="G672" s="93">
        <f t="shared" ref="G672:G673" si="93">D672*E672*F672</f>
        <v>280000</v>
      </c>
      <c r="H672" s="96"/>
      <c r="I672" s="96"/>
      <c r="J672" s="96"/>
      <c r="K672" s="96"/>
      <c r="L672" s="96"/>
      <c r="M672" s="96"/>
    </row>
    <row r="673" spans="1:13" s="97" customFormat="1" x14ac:dyDescent="0.25">
      <c r="A673" s="91"/>
      <c r="B673" s="61"/>
      <c r="C673" s="92" t="s">
        <v>230</v>
      </c>
      <c r="D673" s="92">
        <f>7000</f>
        <v>7000</v>
      </c>
      <c r="E673" s="92">
        <v>180</v>
      </c>
      <c r="F673" s="92">
        <v>1</v>
      </c>
      <c r="G673" s="93">
        <f t="shared" si="93"/>
        <v>1260000</v>
      </c>
      <c r="H673" s="96"/>
      <c r="I673" s="96"/>
      <c r="J673" s="96"/>
      <c r="K673" s="96"/>
      <c r="L673" s="96"/>
      <c r="M673" s="96"/>
    </row>
    <row r="674" spans="1:13" s="97" customFormat="1" x14ac:dyDescent="0.25">
      <c r="A674" s="91"/>
      <c r="B674" s="61"/>
      <c r="C674" s="92" t="s">
        <v>231</v>
      </c>
      <c r="D674" s="92">
        <v>1000000</v>
      </c>
      <c r="E674" s="92">
        <v>1</v>
      </c>
      <c r="F674" s="92">
        <v>2</v>
      </c>
      <c r="G674" s="93">
        <f>F674*E674*D674</f>
        <v>2000000</v>
      </c>
      <c r="H674" s="96"/>
      <c r="I674" s="96"/>
      <c r="J674" s="96"/>
      <c r="K674" s="96"/>
      <c r="L674" s="96"/>
      <c r="M674" s="96"/>
    </row>
    <row r="675" spans="1:13" s="97" customFormat="1" x14ac:dyDescent="0.25">
      <c r="A675" s="91"/>
      <c r="B675" s="61"/>
      <c r="C675" s="120" t="s">
        <v>97</v>
      </c>
      <c r="D675" s="92">
        <v>20000</v>
      </c>
      <c r="E675" s="92">
        <v>40</v>
      </c>
      <c r="F675" s="92">
        <v>2</v>
      </c>
      <c r="G675" s="93">
        <f>D675*E675*F675</f>
        <v>1600000</v>
      </c>
      <c r="H675" s="96"/>
      <c r="I675" s="96"/>
      <c r="J675" s="96"/>
      <c r="K675" s="96"/>
      <c r="L675" s="96"/>
      <c r="M675" s="96"/>
    </row>
    <row r="676" spans="1:13" s="97" customFormat="1" x14ac:dyDescent="0.25">
      <c r="A676" s="91"/>
      <c r="B676" s="61"/>
      <c r="C676" s="92" t="s">
        <v>60</v>
      </c>
      <c r="D676" s="92">
        <v>20000</v>
      </c>
      <c r="E676" s="92">
        <v>38</v>
      </c>
      <c r="F676" s="92">
        <v>1</v>
      </c>
      <c r="G676" s="93">
        <f t="shared" ref="G676:G677" si="94">D676*E676*F676</f>
        <v>760000</v>
      </c>
      <c r="H676" s="96"/>
      <c r="I676" s="96"/>
      <c r="J676" s="96"/>
      <c r="K676" s="96"/>
      <c r="L676" s="96"/>
      <c r="M676" s="96"/>
    </row>
    <row r="677" spans="1:13" s="97" customFormat="1" x14ac:dyDescent="0.25">
      <c r="A677" s="91"/>
      <c r="B677" s="61"/>
      <c r="C677" s="92" t="s">
        <v>138</v>
      </c>
      <c r="D677" s="92">
        <v>50000</v>
      </c>
      <c r="E677" s="92">
        <v>38</v>
      </c>
      <c r="F677" s="92">
        <v>1</v>
      </c>
      <c r="G677" s="93">
        <f t="shared" si="94"/>
        <v>1900000</v>
      </c>
      <c r="H677" s="96"/>
      <c r="I677" s="96"/>
      <c r="J677" s="96"/>
      <c r="K677" s="96"/>
      <c r="L677" s="96"/>
      <c r="M677" s="96"/>
    </row>
    <row r="678" spans="1:13" s="97" customFormat="1" x14ac:dyDescent="0.25">
      <c r="A678" s="91"/>
      <c r="B678" s="61"/>
      <c r="C678" s="92" t="s">
        <v>136</v>
      </c>
      <c r="D678" s="92">
        <v>40000</v>
      </c>
      <c r="E678" s="92">
        <v>7</v>
      </c>
      <c r="F678" s="92">
        <v>2</v>
      </c>
      <c r="G678" s="93">
        <f>F678*E678*D678</f>
        <v>560000</v>
      </c>
      <c r="H678" s="96"/>
      <c r="I678" s="96"/>
      <c r="J678" s="96"/>
      <c r="K678" s="96"/>
      <c r="L678" s="96"/>
      <c r="M678" s="96"/>
    </row>
    <row r="679" spans="1:13" s="49" customFormat="1" ht="12" thickBot="1" x14ac:dyDescent="0.3">
      <c r="A679" s="91"/>
      <c r="B679" s="120"/>
      <c r="C679" s="92"/>
      <c r="D679" s="92"/>
      <c r="E679" s="92"/>
      <c r="F679" s="92"/>
      <c r="G679" s="93"/>
      <c r="H679" s="48"/>
      <c r="I679" s="48"/>
      <c r="J679" s="48"/>
      <c r="K679" s="48"/>
      <c r="L679" s="48"/>
      <c r="M679" s="48"/>
    </row>
    <row r="680" spans="1:13" s="49" customFormat="1" ht="12" thickBot="1" x14ac:dyDescent="0.3">
      <c r="A680" s="91"/>
      <c r="B680" s="120"/>
      <c r="C680" s="92" t="s">
        <v>140</v>
      </c>
      <c r="D680" s="92"/>
      <c r="E680" s="92"/>
      <c r="F680" s="92"/>
      <c r="G680" s="126">
        <f>SUM(G632:G679)</f>
        <v>82455666</v>
      </c>
      <c r="H680" s="127">
        <f>G680/8136</f>
        <v>10134.668879056047</v>
      </c>
      <c r="I680" s="48"/>
      <c r="J680" s="48"/>
      <c r="K680" s="48"/>
      <c r="L680" s="48"/>
      <c r="M680" s="48"/>
    </row>
    <row r="681" spans="1:13" s="49" customFormat="1" ht="12" thickBot="1" x14ac:dyDescent="0.3">
      <c r="A681" s="91"/>
      <c r="B681" s="120"/>
      <c r="C681" s="92"/>
      <c r="D681" s="92"/>
      <c r="E681" s="92"/>
      <c r="F681" s="92"/>
      <c r="G681" s="93"/>
      <c r="H681" s="48"/>
      <c r="I681" s="48"/>
      <c r="J681" s="48"/>
      <c r="K681" s="48"/>
      <c r="L681" s="48"/>
      <c r="M681" s="48"/>
    </row>
    <row r="682" spans="1:13" s="49" customFormat="1" x14ac:dyDescent="0.25">
      <c r="A682" s="125">
        <v>2.5</v>
      </c>
      <c r="B682" s="116" t="s">
        <v>329</v>
      </c>
      <c r="C682" s="117" t="s">
        <v>39</v>
      </c>
      <c r="D682" s="117"/>
      <c r="E682" s="117"/>
      <c r="F682" s="117"/>
      <c r="G682" s="118">
        <f t="shared" ref="G682" si="95">D682*E682*F682</f>
        <v>0</v>
      </c>
      <c r="H682" s="48"/>
      <c r="I682" s="48"/>
      <c r="J682" s="48"/>
      <c r="K682" s="48"/>
      <c r="L682" s="48"/>
      <c r="M682" s="48"/>
    </row>
    <row r="683" spans="1:13" s="49" customFormat="1" ht="33.75" x14ac:dyDescent="0.25">
      <c r="A683" s="91"/>
      <c r="B683" s="198" t="s">
        <v>369</v>
      </c>
      <c r="C683" s="120" t="s">
        <v>370</v>
      </c>
      <c r="D683" s="92">
        <v>150000</v>
      </c>
      <c r="E683" s="92">
        <v>3</v>
      </c>
      <c r="F683" s="92">
        <v>6</v>
      </c>
      <c r="G683" s="93">
        <f>F683*E683*D683</f>
        <v>2700000</v>
      </c>
      <c r="H683" s="96"/>
      <c r="I683" s="48"/>
      <c r="J683" s="48"/>
      <c r="K683" s="48"/>
      <c r="L683" s="48"/>
      <c r="M683" s="48"/>
    </row>
    <row r="684" spans="1:13" s="49" customFormat="1" ht="33.75" x14ac:dyDescent="0.25">
      <c r="A684" s="91"/>
      <c r="C684" s="120" t="s">
        <v>371</v>
      </c>
      <c r="D684" s="92">
        <v>100000</v>
      </c>
      <c r="E684" s="92">
        <v>3</v>
      </c>
      <c r="F684" s="92">
        <v>7</v>
      </c>
      <c r="G684" s="93">
        <f>D684*E684*F684</f>
        <v>2100000</v>
      </c>
      <c r="H684" s="96"/>
      <c r="I684" s="48"/>
      <c r="J684" s="48"/>
      <c r="K684" s="48"/>
      <c r="L684" s="142"/>
      <c r="M684" s="48" t="s">
        <v>240</v>
      </c>
    </row>
    <row r="685" spans="1:13" s="97" customFormat="1" x14ac:dyDescent="0.25">
      <c r="A685" s="91"/>
      <c r="B685" s="61"/>
      <c r="C685" s="92" t="s">
        <v>372</v>
      </c>
      <c r="D685" s="92">
        <v>7000</v>
      </c>
      <c r="E685" s="174">
        <v>52.1666666666667</v>
      </c>
      <c r="F685" s="92">
        <v>1</v>
      </c>
      <c r="G685" s="93">
        <f>F685*E685*D685</f>
        <v>365166.66666666692</v>
      </c>
      <c r="H685" s="96"/>
      <c r="I685" s="96"/>
      <c r="J685" s="96"/>
      <c r="K685" s="96"/>
      <c r="L685" s="96"/>
      <c r="M685" s="96"/>
    </row>
    <row r="686" spans="1:13" s="97" customFormat="1" x14ac:dyDescent="0.25">
      <c r="A686" s="91"/>
      <c r="B686" s="61"/>
      <c r="C686" s="92" t="s">
        <v>373</v>
      </c>
      <c r="D686" s="92">
        <v>7000</v>
      </c>
      <c r="E686" s="174">
        <f>515/6</f>
        <v>85.833333333333329</v>
      </c>
      <c r="F686" s="92">
        <v>1</v>
      </c>
      <c r="G686" s="93">
        <f>F686*E686*D686</f>
        <v>600833.33333333326</v>
      </c>
      <c r="H686" s="96"/>
      <c r="I686" s="96"/>
      <c r="J686" s="96"/>
      <c r="K686" s="96"/>
      <c r="L686" s="96"/>
      <c r="M686" s="96"/>
    </row>
    <row r="687" spans="1:13" s="97" customFormat="1" x14ac:dyDescent="0.25">
      <c r="A687" s="91"/>
      <c r="B687" s="61"/>
      <c r="C687" s="92" t="s">
        <v>374</v>
      </c>
      <c r="D687" s="92">
        <v>7000</v>
      </c>
      <c r="E687" s="174">
        <f>631/6</f>
        <v>105.16666666666667</v>
      </c>
      <c r="F687" s="92">
        <v>1</v>
      </c>
      <c r="G687" s="93">
        <f>F687*E687*D687</f>
        <v>736166.66666666674</v>
      </c>
      <c r="H687" s="96"/>
      <c r="I687" s="96"/>
      <c r="J687" s="96"/>
      <c r="K687" s="96"/>
      <c r="L687" s="96"/>
      <c r="M687" s="96"/>
    </row>
    <row r="688" spans="1:13" s="192" customFormat="1" ht="12" thickBot="1" x14ac:dyDescent="0.2">
      <c r="C688" s="92" t="s">
        <v>220</v>
      </c>
      <c r="D688" s="92">
        <v>7000</v>
      </c>
      <c r="E688" s="92">
        <v>5</v>
      </c>
      <c r="F688" s="92">
        <v>10</v>
      </c>
      <c r="G688" s="93">
        <f>F688*E688*D688</f>
        <v>350000</v>
      </c>
      <c r="H688" s="193"/>
    </row>
    <row r="689" spans="1:13" s="49" customFormat="1" ht="12" thickBot="1" x14ac:dyDescent="0.3">
      <c r="A689" s="91"/>
      <c r="B689" s="120"/>
      <c r="C689" s="92" t="s">
        <v>140</v>
      </c>
      <c r="D689" s="92"/>
      <c r="E689" s="92"/>
      <c r="F689" s="92"/>
      <c r="G689" s="199">
        <f>G687+G686+G685+G684+G683+G688</f>
        <v>6852166.666666667</v>
      </c>
      <c r="H689" s="48"/>
      <c r="I689" s="48"/>
      <c r="J689" s="48"/>
      <c r="K689" s="48"/>
      <c r="L689" s="48"/>
      <c r="M689" s="48"/>
    </row>
    <row r="690" spans="1:13" s="49" customFormat="1" x14ac:dyDescent="0.25">
      <c r="A690" s="91"/>
      <c r="B690" s="120"/>
      <c r="C690" s="92"/>
      <c r="D690" s="92"/>
      <c r="E690" s="92"/>
      <c r="F690" s="92"/>
      <c r="G690" s="93"/>
      <c r="H690" s="48"/>
      <c r="I690" s="48"/>
      <c r="J690" s="48"/>
      <c r="K690" s="48"/>
      <c r="L690" s="48"/>
      <c r="M690" s="48"/>
    </row>
    <row r="691" spans="1:13" s="49" customFormat="1" ht="22.5" x14ac:dyDescent="0.25">
      <c r="A691" s="91"/>
      <c r="B691" s="198" t="s">
        <v>375</v>
      </c>
      <c r="C691" s="120" t="s">
        <v>376</v>
      </c>
      <c r="D691" s="92">
        <v>150000</v>
      </c>
      <c r="E691" s="92">
        <v>3</v>
      </c>
      <c r="F691" s="92">
        <v>5</v>
      </c>
      <c r="G691" s="93">
        <f>F691*E691*D691</f>
        <v>2250000</v>
      </c>
      <c r="H691" s="48"/>
      <c r="I691" s="48"/>
      <c r="J691" s="48"/>
      <c r="K691" s="48"/>
      <c r="L691" s="48"/>
      <c r="M691" s="48"/>
    </row>
    <row r="692" spans="1:13" s="190" customFormat="1" ht="22.5" x14ac:dyDescent="0.15">
      <c r="B692" s="61"/>
      <c r="C692" s="120" t="s">
        <v>377</v>
      </c>
      <c r="D692" s="92">
        <v>100000</v>
      </c>
      <c r="E692" s="92">
        <v>3</v>
      </c>
      <c r="F692" s="92">
        <v>6</v>
      </c>
      <c r="G692" s="93">
        <f>D692*E692*F692</f>
        <v>1800000</v>
      </c>
    </row>
    <row r="693" spans="1:13" s="190" customFormat="1" x14ac:dyDescent="0.15">
      <c r="B693" s="61"/>
      <c r="C693" s="92" t="s">
        <v>378</v>
      </c>
      <c r="D693" s="92">
        <v>7000</v>
      </c>
      <c r="E693" s="174">
        <v>149</v>
      </c>
      <c r="F693" s="92">
        <v>1</v>
      </c>
      <c r="G693" s="93">
        <f>F693*E693*D693</f>
        <v>1043000</v>
      </c>
    </row>
    <row r="694" spans="1:13" s="192" customFormat="1" x14ac:dyDescent="0.15">
      <c r="C694" s="92" t="s">
        <v>304</v>
      </c>
      <c r="D694" s="92">
        <v>7000</v>
      </c>
      <c r="E694" s="149">
        <f>398/6</f>
        <v>66.333333333333329</v>
      </c>
      <c r="F694" s="92">
        <v>1</v>
      </c>
      <c r="G694" s="93">
        <f>F694*E694*D694</f>
        <v>464333.33333333331</v>
      </c>
      <c r="H694" s="193"/>
    </row>
    <row r="695" spans="1:13" s="190" customFormat="1" x14ac:dyDescent="0.15">
      <c r="C695" s="92" t="s">
        <v>379</v>
      </c>
      <c r="D695" s="92">
        <v>7000</v>
      </c>
      <c r="E695" s="174">
        <v>127</v>
      </c>
      <c r="F695" s="92">
        <v>1</v>
      </c>
      <c r="G695" s="93">
        <f>F695*E695*D695</f>
        <v>889000</v>
      </c>
      <c r="H695" s="191"/>
    </row>
    <row r="696" spans="1:13" s="190" customFormat="1" ht="12" thickBot="1" x14ac:dyDescent="0.2">
      <c r="C696" s="92" t="s">
        <v>220</v>
      </c>
      <c r="D696" s="92">
        <v>7000</v>
      </c>
      <c r="E696" s="92">
        <v>4</v>
      </c>
      <c r="F696" s="92">
        <v>10</v>
      </c>
      <c r="G696" s="93">
        <f>F696*E696*D696</f>
        <v>280000</v>
      </c>
    </row>
    <row r="697" spans="1:13" s="190" customFormat="1" ht="12" thickBot="1" x14ac:dyDescent="0.2">
      <c r="C697" s="92" t="s">
        <v>140</v>
      </c>
      <c r="D697" s="92"/>
      <c r="E697" s="92"/>
      <c r="F697" s="92"/>
      <c r="G697" s="199">
        <f>SUM(G691:G696)</f>
        <v>6726333.333333333</v>
      </c>
      <c r="H697" s="191"/>
    </row>
    <row r="698" spans="1:13" s="190" customFormat="1" x14ac:dyDescent="0.15">
      <c r="C698" s="92"/>
      <c r="D698" s="92"/>
      <c r="E698" s="92"/>
      <c r="F698" s="92"/>
      <c r="G698" s="93"/>
      <c r="H698" s="191"/>
    </row>
    <row r="699" spans="1:13" s="49" customFormat="1" ht="22.5" x14ac:dyDescent="0.25">
      <c r="A699" s="91"/>
      <c r="B699" s="198" t="s">
        <v>380</v>
      </c>
      <c r="C699" s="120" t="s">
        <v>376</v>
      </c>
      <c r="D699" s="92">
        <v>150000</v>
      </c>
      <c r="E699" s="92">
        <v>3</v>
      </c>
      <c r="F699" s="92">
        <v>4</v>
      </c>
      <c r="G699" s="93">
        <f>F699*E699*D699</f>
        <v>1800000</v>
      </c>
      <c r="H699" s="48"/>
      <c r="I699" s="48"/>
      <c r="J699" s="48"/>
      <c r="K699" s="48"/>
      <c r="L699" s="48"/>
      <c r="M699" s="48"/>
    </row>
    <row r="700" spans="1:13" s="190" customFormat="1" ht="22.5" x14ac:dyDescent="0.15">
      <c r="B700" s="61"/>
      <c r="C700" s="120" t="s">
        <v>377</v>
      </c>
      <c r="D700" s="92">
        <v>100000</v>
      </c>
      <c r="E700" s="92">
        <v>3</v>
      </c>
      <c r="F700" s="92">
        <v>5</v>
      </c>
      <c r="G700" s="93">
        <f>D700*E700*F700</f>
        <v>1500000</v>
      </c>
    </row>
    <row r="701" spans="1:13" s="192" customFormat="1" x14ac:dyDescent="0.15">
      <c r="B701" s="61"/>
      <c r="C701" s="92" t="s">
        <v>381</v>
      </c>
      <c r="D701" s="92">
        <v>7000</v>
      </c>
      <c r="E701" s="149">
        <f>205/6</f>
        <v>34.166666666666664</v>
      </c>
      <c r="F701" s="92">
        <v>1</v>
      </c>
      <c r="G701" s="93">
        <f>F701*E701*D701</f>
        <v>239166.66666666666</v>
      </c>
    </row>
    <row r="702" spans="1:13" s="192" customFormat="1" x14ac:dyDescent="0.15">
      <c r="C702" s="92" t="s">
        <v>382</v>
      </c>
      <c r="D702" s="92">
        <v>7000</v>
      </c>
      <c r="E702" s="149">
        <f>469/6</f>
        <v>78.166666666666671</v>
      </c>
      <c r="F702" s="92">
        <v>1</v>
      </c>
      <c r="G702" s="93">
        <f>F702*E702*D702</f>
        <v>547166.66666666674</v>
      </c>
      <c r="H702" s="193"/>
    </row>
    <row r="703" spans="1:13" s="192" customFormat="1" x14ac:dyDescent="0.15">
      <c r="C703" s="92" t="s">
        <v>383</v>
      </c>
      <c r="D703" s="92">
        <v>7000</v>
      </c>
      <c r="E703" s="149">
        <f>471/7</f>
        <v>67.285714285714292</v>
      </c>
      <c r="F703" s="92">
        <v>1</v>
      </c>
      <c r="G703" s="93">
        <f>F703*E703*D703</f>
        <v>471000.00000000006</v>
      </c>
      <c r="H703" s="193"/>
    </row>
    <row r="704" spans="1:13" s="190" customFormat="1" ht="12" thickBot="1" x14ac:dyDescent="0.2">
      <c r="C704" s="92" t="s">
        <v>220</v>
      </c>
      <c r="D704" s="92">
        <v>70000</v>
      </c>
      <c r="E704" s="92">
        <v>4</v>
      </c>
      <c r="F704" s="92">
        <v>1</v>
      </c>
      <c r="G704" s="93">
        <f>F704*E704*D704</f>
        <v>280000</v>
      </c>
    </row>
    <row r="705" spans="1:13" s="190" customFormat="1" ht="12" thickBot="1" x14ac:dyDescent="0.2">
      <c r="C705" s="92" t="s">
        <v>140</v>
      </c>
      <c r="D705" s="92"/>
      <c r="E705" s="92"/>
      <c r="F705" s="92"/>
      <c r="G705" s="199">
        <f>SUM(G699:G704)</f>
        <v>4837333.333333333</v>
      </c>
      <c r="H705" s="191"/>
    </row>
    <row r="706" spans="1:13" s="192" customFormat="1" x14ac:dyDescent="0.15">
      <c r="C706" s="92"/>
      <c r="D706" s="92"/>
      <c r="E706" s="92"/>
      <c r="F706" s="92"/>
      <c r="G706" s="93"/>
      <c r="H706" s="193"/>
    </row>
    <row r="707" spans="1:13" s="190" customFormat="1" x14ac:dyDescent="0.15">
      <c r="C707" s="92"/>
      <c r="D707" s="92"/>
      <c r="E707" s="92"/>
      <c r="F707" s="92"/>
      <c r="G707" s="93"/>
      <c r="H707" s="191"/>
    </row>
    <row r="708" spans="1:13" s="49" customFormat="1" ht="22.5" x14ac:dyDescent="0.25">
      <c r="A708" s="91"/>
      <c r="B708" s="198" t="s">
        <v>384</v>
      </c>
      <c r="C708" s="120" t="s">
        <v>376</v>
      </c>
      <c r="D708" s="92">
        <v>150000</v>
      </c>
      <c r="E708" s="92">
        <v>3</v>
      </c>
      <c r="F708" s="92">
        <v>4</v>
      </c>
      <c r="G708" s="93">
        <f>F708*E708*D708</f>
        <v>1800000</v>
      </c>
      <c r="H708" s="48"/>
      <c r="I708" s="48"/>
      <c r="J708" s="48"/>
      <c r="K708" s="48"/>
      <c r="L708" s="48"/>
      <c r="M708" s="48"/>
    </row>
    <row r="709" spans="1:13" s="190" customFormat="1" ht="22.5" x14ac:dyDescent="0.15">
      <c r="B709" s="61"/>
      <c r="C709" s="120" t="s">
        <v>377</v>
      </c>
      <c r="D709" s="92">
        <v>100000</v>
      </c>
      <c r="E709" s="92">
        <v>3</v>
      </c>
      <c r="F709" s="92">
        <v>5</v>
      </c>
      <c r="G709" s="93">
        <f>D709*E709*F709</f>
        <v>1500000</v>
      </c>
    </row>
    <row r="710" spans="1:13" s="192" customFormat="1" x14ac:dyDescent="0.15">
      <c r="B710" s="61"/>
      <c r="C710" s="92" t="s">
        <v>385</v>
      </c>
      <c r="D710" s="92">
        <v>7000</v>
      </c>
      <c r="E710" s="149">
        <f>887/7</f>
        <v>126.71428571428571</v>
      </c>
      <c r="F710" s="92">
        <v>1</v>
      </c>
      <c r="G710" s="93">
        <f>F710*E710*D710</f>
        <v>887000</v>
      </c>
    </row>
    <row r="711" spans="1:13" s="192" customFormat="1" x14ac:dyDescent="0.15">
      <c r="C711" s="92" t="s">
        <v>348</v>
      </c>
      <c r="D711" s="92">
        <v>7000</v>
      </c>
      <c r="E711" s="149">
        <f>887/7</f>
        <v>126.71428571428571</v>
      </c>
      <c r="F711" s="92">
        <v>1</v>
      </c>
      <c r="G711" s="93">
        <f>F711*E711*D711</f>
        <v>887000</v>
      </c>
      <c r="H711" s="193"/>
    </row>
    <row r="712" spans="1:13" s="190" customFormat="1" x14ac:dyDescent="0.15">
      <c r="C712" s="92" t="s">
        <v>220</v>
      </c>
      <c r="D712" s="92">
        <v>70000</v>
      </c>
      <c r="E712" s="92">
        <v>4</v>
      </c>
      <c r="F712" s="92">
        <v>1</v>
      </c>
      <c r="G712" s="93">
        <f>F712*E712*D712</f>
        <v>280000</v>
      </c>
    </row>
    <row r="713" spans="1:13" s="190" customFormat="1" ht="12" thickBot="1" x14ac:dyDescent="0.2">
      <c r="C713" s="92" t="s">
        <v>386</v>
      </c>
      <c r="D713" s="92">
        <v>500</v>
      </c>
      <c r="E713" s="92">
        <v>300</v>
      </c>
      <c r="F713" s="92">
        <v>1</v>
      </c>
      <c r="G713" s="93">
        <f>F713*E713*D713</f>
        <v>150000</v>
      </c>
    </row>
    <row r="714" spans="1:13" s="190" customFormat="1" ht="12" thickBot="1" x14ac:dyDescent="0.2">
      <c r="C714" s="92" t="s">
        <v>140</v>
      </c>
      <c r="D714" s="92"/>
      <c r="E714" s="92"/>
      <c r="F714" s="92"/>
      <c r="G714" s="199">
        <f>G713+G712+G711+G710+G709+G708</f>
        <v>5504000</v>
      </c>
      <c r="H714" s="191"/>
    </row>
    <row r="715" spans="1:13" s="190" customFormat="1" ht="12" thickBot="1" x14ac:dyDescent="0.2">
      <c r="C715" s="120"/>
      <c r="D715" s="92"/>
      <c r="E715" s="92"/>
      <c r="F715" s="92"/>
      <c r="G715" s="93"/>
    </row>
    <row r="716" spans="1:13" s="190" customFormat="1" ht="12" thickBot="1" x14ac:dyDescent="0.2">
      <c r="C716" s="92" t="s">
        <v>349</v>
      </c>
      <c r="G716" s="200">
        <f>G714+G705+G697+G689</f>
        <v>23919833.333333332</v>
      </c>
      <c r="H716" s="196">
        <f>G716/8136</f>
        <v>2939.9991805965255</v>
      </c>
    </row>
    <row r="717" spans="1:13" s="190" customFormat="1" ht="12" thickBot="1" x14ac:dyDescent="0.2"/>
    <row r="718" spans="1:13" s="49" customFormat="1" ht="24" x14ac:dyDescent="0.25">
      <c r="A718" s="125">
        <v>2.6</v>
      </c>
      <c r="B718" s="201" t="s">
        <v>387</v>
      </c>
      <c r="C718" s="117" t="s">
        <v>39</v>
      </c>
      <c r="D718" s="117">
        <v>150000</v>
      </c>
      <c r="E718" s="117">
        <v>1</v>
      </c>
      <c r="F718" s="117">
        <v>20</v>
      </c>
      <c r="G718" s="118">
        <f>D718*E718*F718</f>
        <v>3000000</v>
      </c>
      <c r="H718" s="48"/>
      <c r="I718" s="48"/>
      <c r="J718" s="48"/>
      <c r="K718" s="48"/>
      <c r="L718" s="48"/>
      <c r="M718" s="48"/>
    </row>
    <row r="719" spans="1:13" s="49" customFormat="1" ht="12" x14ac:dyDescent="0.25">
      <c r="A719" s="91"/>
      <c r="B719" s="202" t="s">
        <v>388</v>
      </c>
      <c r="C719" s="92" t="s">
        <v>136</v>
      </c>
      <c r="D719" s="92">
        <v>40000</v>
      </c>
      <c r="E719" s="92">
        <v>20</v>
      </c>
      <c r="F719" s="92">
        <v>7</v>
      </c>
      <c r="G719" s="93">
        <f t="shared" ref="G719:G720" si="96">F719*E719*D719</f>
        <v>5600000</v>
      </c>
      <c r="H719" s="48"/>
      <c r="I719" s="48"/>
      <c r="J719" s="48"/>
      <c r="K719" s="48"/>
      <c r="L719" s="48"/>
      <c r="M719" s="48"/>
    </row>
    <row r="720" spans="1:13" s="97" customFormat="1" x14ac:dyDescent="0.25">
      <c r="A720" s="91"/>
      <c r="B720" s="61"/>
      <c r="C720" s="92" t="s">
        <v>389</v>
      </c>
      <c r="D720" s="92">
        <v>20000</v>
      </c>
      <c r="E720" s="174">
        <v>100</v>
      </c>
      <c r="F720" s="92">
        <v>20</v>
      </c>
      <c r="G720" s="93">
        <f t="shared" si="96"/>
        <v>40000000</v>
      </c>
      <c r="H720" s="96"/>
      <c r="I720" s="96"/>
      <c r="J720" s="96"/>
      <c r="K720" s="96"/>
      <c r="L720" s="96"/>
      <c r="M720" s="96"/>
    </row>
    <row r="721" spans="1:16" s="97" customFormat="1" x14ac:dyDescent="0.25">
      <c r="A721" s="91"/>
      <c r="B721" s="61"/>
      <c r="C721" s="92" t="s">
        <v>60</v>
      </c>
      <c r="D721" s="92">
        <v>20000</v>
      </c>
      <c r="E721" s="174">
        <v>100</v>
      </c>
      <c r="F721" s="92">
        <v>20</v>
      </c>
      <c r="G721" s="93">
        <f>F721*E721*D721</f>
        <v>40000000</v>
      </c>
      <c r="H721" s="96"/>
      <c r="I721" s="96"/>
      <c r="J721" s="96"/>
      <c r="K721" s="96"/>
      <c r="L721" s="96"/>
      <c r="M721" s="96"/>
    </row>
    <row r="722" spans="1:16" s="97" customFormat="1" x14ac:dyDescent="0.25">
      <c r="A722" s="91"/>
      <c r="B722" s="61"/>
      <c r="C722" s="92" t="s">
        <v>59</v>
      </c>
      <c r="D722" s="92">
        <v>50000</v>
      </c>
      <c r="E722" s="174">
        <v>10</v>
      </c>
      <c r="F722" s="92">
        <v>20</v>
      </c>
      <c r="G722" s="93">
        <f t="shared" ref="G722:G726" si="97">F722*E722*D722</f>
        <v>10000000</v>
      </c>
      <c r="H722" s="96"/>
      <c r="I722" s="96"/>
      <c r="J722" s="96"/>
      <c r="K722" s="96"/>
      <c r="L722" s="96"/>
      <c r="M722" s="96"/>
    </row>
    <row r="723" spans="1:16" s="192" customFormat="1" x14ac:dyDescent="0.15">
      <c r="C723" s="92" t="s">
        <v>220</v>
      </c>
      <c r="D723" s="92">
        <v>7000</v>
      </c>
      <c r="E723" s="92">
        <v>20</v>
      </c>
      <c r="F723" s="92">
        <v>10</v>
      </c>
      <c r="G723" s="93">
        <f t="shared" si="97"/>
        <v>1400000</v>
      </c>
      <c r="H723" s="193"/>
    </row>
    <row r="724" spans="1:16" s="192" customFormat="1" x14ac:dyDescent="0.15">
      <c r="C724" s="92" t="s">
        <v>390</v>
      </c>
      <c r="D724" s="92">
        <v>500000</v>
      </c>
      <c r="E724" s="92">
        <v>20</v>
      </c>
      <c r="F724" s="92">
        <v>1</v>
      </c>
      <c r="G724" s="93">
        <f t="shared" si="97"/>
        <v>10000000</v>
      </c>
      <c r="H724" s="193"/>
    </row>
    <row r="725" spans="1:16" s="192" customFormat="1" x14ac:dyDescent="0.15">
      <c r="C725" s="92" t="s">
        <v>391</v>
      </c>
      <c r="D725" s="92">
        <v>1000000</v>
      </c>
      <c r="E725" s="92">
        <v>20</v>
      </c>
      <c r="F725" s="92">
        <v>1</v>
      </c>
      <c r="G725" s="93">
        <f t="shared" si="97"/>
        <v>20000000</v>
      </c>
      <c r="H725" s="193"/>
    </row>
    <row r="726" spans="1:16" s="192" customFormat="1" ht="12" thickBot="1" x14ac:dyDescent="0.2">
      <c r="C726" s="92" t="s">
        <v>392</v>
      </c>
      <c r="D726" s="92">
        <v>50000</v>
      </c>
      <c r="E726" s="92">
        <v>20</v>
      </c>
      <c r="F726" s="92">
        <v>4</v>
      </c>
      <c r="G726" s="93">
        <f t="shared" si="97"/>
        <v>4000000</v>
      </c>
      <c r="H726" s="193"/>
    </row>
    <row r="727" spans="1:16" s="49" customFormat="1" ht="12" thickBot="1" x14ac:dyDescent="0.3">
      <c r="A727" s="91"/>
      <c r="B727" s="120"/>
      <c r="C727" s="92" t="s">
        <v>140</v>
      </c>
      <c r="D727" s="92"/>
      <c r="E727" s="92"/>
      <c r="F727" s="92"/>
      <c r="G727" s="203">
        <f>G726+G725+G724+G723+G722+G721+G720+G719+G718</f>
        <v>134000000</v>
      </c>
      <c r="H727" s="127">
        <f>G727/8136</f>
        <v>16470.00983284169</v>
      </c>
      <c r="I727" s="48"/>
      <c r="J727" s="48"/>
      <c r="K727" s="48"/>
      <c r="L727" s="48"/>
      <c r="M727" s="48"/>
    </row>
    <row r="728" spans="1:16" x14ac:dyDescent="0.25">
      <c r="H728" s="48"/>
    </row>
    <row r="729" spans="1:16" s="96" customFormat="1" x14ac:dyDescent="0.25">
      <c r="H729" s="94"/>
    </row>
    <row r="730" spans="1:16" ht="18.75" thickBot="1" x14ac:dyDescent="0.3">
      <c r="A730" s="204" t="s">
        <v>105</v>
      </c>
      <c r="B730" s="204" t="s">
        <v>12</v>
      </c>
      <c r="C730" s="204"/>
      <c r="D730" s="204"/>
      <c r="E730" s="204"/>
      <c r="F730" s="204"/>
      <c r="G730" s="204"/>
    </row>
    <row r="731" spans="1:16" s="57" customFormat="1" ht="16.5" thickBot="1" x14ac:dyDescent="0.3">
      <c r="A731" s="205" t="s">
        <v>393</v>
      </c>
      <c r="B731" s="205"/>
      <c r="C731" s="206"/>
      <c r="D731" s="206"/>
      <c r="E731" s="206"/>
      <c r="F731" s="206"/>
      <c r="G731" s="206"/>
      <c r="H731" s="55"/>
    </row>
    <row r="732" spans="1:16" s="59" customFormat="1" ht="15" x14ac:dyDescent="0.25">
      <c r="A732" s="207">
        <v>1</v>
      </c>
      <c r="B732" s="757" t="s">
        <v>394</v>
      </c>
      <c r="C732" s="53" t="s">
        <v>395</v>
      </c>
      <c r="D732" s="53">
        <v>150000</v>
      </c>
      <c r="E732" s="53">
        <v>1</v>
      </c>
      <c r="F732" s="53">
        <v>1</v>
      </c>
      <c r="G732" s="54">
        <f>D732*E732*F732</f>
        <v>150000</v>
      </c>
      <c r="H732" s="55"/>
      <c r="I732" s="58"/>
      <c r="J732" s="58"/>
      <c r="K732" s="58"/>
      <c r="L732" s="58"/>
      <c r="M732" s="58"/>
      <c r="N732" s="58"/>
      <c r="O732" s="58"/>
      <c r="P732" s="58"/>
    </row>
    <row r="733" spans="1:16" s="59" customFormat="1" ht="15" x14ac:dyDescent="0.25">
      <c r="A733" s="66"/>
      <c r="B733" s="758"/>
      <c r="C733" s="63" t="s">
        <v>396</v>
      </c>
      <c r="D733" s="63">
        <v>270000</v>
      </c>
      <c r="E733" s="63">
        <v>2</v>
      </c>
      <c r="F733" s="63">
        <v>3</v>
      </c>
      <c r="G733" s="64">
        <f>D733*E733*F733</f>
        <v>1620000</v>
      </c>
      <c r="H733" s="55"/>
      <c r="I733" s="58"/>
      <c r="J733" s="58"/>
      <c r="K733" s="58"/>
      <c r="L733" s="58"/>
      <c r="M733" s="58"/>
      <c r="N733" s="58"/>
      <c r="O733" s="58"/>
      <c r="P733" s="58"/>
    </row>
    <row r="734" spans="1:16" s="59" customFormat="1" ht="15" x14ac:dyDescent="0.25">
      <c r="A734" s="66"/>
      <c r="B734" s="758"/>
      <c r="C734" s="63" t="s">
        <v>397</v>
      </c>
      <c r="D734" s="63">
        <v>100000</v>
      </c>
      <c r="E734" s="63">
        <f>E733</f>
        <v>2</v>
      </c>
      <c r="F734" s="63">
        <v>1</v>
      </c>
      <c r="G734" s="64">
        <f t="shared" ref="G734:G781" si="98">D734*E734*F734</f>
        <v>200000</v>
      </c>
      <c r="H734" s="55"/>
      <c r="I734" s="58"/>
      <c r="J734" s="58"/>
      <c r="K734" s="58"/>
      <c r="L734" s="58"/>
      <c r="M734" s="58"/>
      <c r="N734" s="58"/>
      <c r="O734" s="58"/>
      <c r="P734" s="58"/>
    </row>
    <row r="735" spans="1:16" s="59" customFormat="1" ht="15" x14ac:dyDescent="0.25">
      <c r="A735" s="66"/>
      <c r="B735" s="758"/>
      <c r="C735" s="208" t="s">
        <v>398</v>
      </c>
      <c r="D735" s="63">
        <v>250000</v>
      </c>
      <c r="E735" s="63">
        <v>15</v>
      </c>
      <c r="F735" s="63">
        <v>3</v>
      </c>
      <c r="G735" s="64">
        <f t="shared" si="98"/>
        <v>11250000</v>
      </c>
      <c r="H735" s="55"/>
      <c r="I735" s="58"/>
      <c r="J735" s="58"/>
      <c r="K735" s="58"/>
      <c r="L735" s="58"/>
      <c r="M735" s="58"/>
      <c r="N735" s="58"/>
      <c r="O735" s="58"/>
      <c r="P735" s="58"/>
    </row>
    <row r="736" spans="1:16" s="59" customFormat="1" ht="15" x14ac:dyDescent="0.25">
      <c r="A736" s="66"/>
      <c r="B736" s="71"/>
      <c r="C736" s="208" t="s">
        <v>399</v>
      </c>
      <c r="D736" s="63">
        <v>100000</v>
      </c>
      <c r="E736" s="63">
        <f>E735</f>
        <v>15</v>
      </c>
      <c r="F736" s="63">
        <v>1</v>
      </c>
      <c r="G736" s="64">
        <f t="shared" si="98"/>
        <v>1500000</v>
      </c>
      <c r="H736" s="55"/>
      <c r="I736" s="58"/>
      <c r="J736" s="58"/>
      <c r="K736" s="58"/>
      <c r="L736" s="58"/>
      <c r="M736" s="58"/>
      <c r="N736" s="58"/>
      <c r="O736" s="58"/>
      <c r="P736" s="58"/>
    </row>
    <row r="737" spans="1:16" s="59" customFormat="1" ht="15" x14ac:dyDescent="0.25">
      <c r="A737" s="66"/>
      <c r="B737" s="71"/>
      <c r="C737" s="63" t="s">
        <v>400</v>
      </c>
      <c r="D737" s="63">
        <v>250000</v>
      </c>
      <c r="E737" s="63">
        <v>3</v>
      </c>
      <c r="F737" s="63">
        <v>3</v>
      </c>
      <c r="G737" s="64">
        <f t="shared" si="98"/>
        <v>2250000</v>
      </c>
      <c r="H737" s="55"/>
      <c r="I737" s="58"/>
      <c r="J737" s="58"/>
      <c r="K737" s="58"/>
      <c r="L737" s="58"/>
      <c r="M737" s="58"/>
      <c r="N737" s="58"/>
      <c r="O737" s="58"/>
      <c r="P737" s="58"/>
    </row>
    <row r="738" spans="1:16" s="59" customFormat="1" ht="15" x14ac:dyDescent="0.25">
      <c r="A738" s="66"/>
      <c r="B738" s="71"/>
      <c r="C738" s="63" t="s">
        <v>401</v>
      </c>
      <c r="D738" s="63">
        <v>100000</v>
      </c>
      <c r="E738" s="63">
        <f>E737</f>
        <v>3</v>
      </c>
      <c r="F738" s="63">
        <v>1</v>
      </c>
      <c r="G738" s="64">
        <f t="shared" si="98"/>
        <v>300000</v>
      </c>
      <c r="H738" s="55"/>
      <c r="I738" s="58"/>
      <c r="J738" s="58"/>
      <c r="K738" s="58"/>
      <c r="L738" s="58"/>
      <c r="M738" s="58"/>
      <c r="N738" s="58"/>
      <c r="O738" s="58"/>
      <c r="P738" s="58"/>
    </row>
    <row r="739" spans="1:16" s="59" customFormat="1" ht="15" x14ac:dyDescent="0.25">
      <c r="A739" s="66"/>
      <c r="B739" s="71"/>
      <c r="C739" s="63" t="s">
        <v>402</v>
      </c>
      <c r="D739" s="63">
        <v>250000</v>
      </c>
      <c r="E739" s="63">
        <v>5</v>
      </c>
      <c r="F739" s="63">
        <v>3</v>
      </c>
      <c r="G739" s="64">
        <f t="shared" si="98"/>
        <v>3750000</v>
      </c>
      <c r="H739" s="55"/>
      <c r="I739" s="58"/>
      <c r="J739" s="58"/>
      <c r="K739" s="58"/>
      <c r="L739" s="58"/>
      <c r="M739" s="58"/>
      <c r="N739" s="58"/>
      <c r="O739" s="58"/>
      <c r="P739" s="58"/>
    </row>
    <row r="740" spans="1:16" s="59" customFormat="1" ht="15" x14ac:dyDescent="0.25">
      <c r="A740" s="66"/>
      <c r="B740" s="71"/>
      <c r="C740" s="63" t="s">
        <v>403</v>
      </c>
      <c r="D740" s="63">
        <v>100000</v>
      </c>
      <c r="E740" s="63">
        <v>5</v>
      </c>
      <c r="F740" s="63">
        <v>1</v>
      </c>
      <c r="G740" s="64">
        <f t="shared" si="98"/>
        <v>500000</v>
      </c>
      <c r="H740" s="55"/>
      <c r="I740" s="58"/>
      <c r="J740" s="58"/>
      <c r="K740" s="58"/>
      <c r="L740" s="58"/>
      <c r="M740" s="58"/>
      <c r="N740" s="58"/>
      <c r="O740" s="58"/>
      <c r="P740" s="58"/>
    </row>
    <row r="741" spans="1:16" s="59" customFormat="1" ht="15" x14ac:dyDescent="0.25">
      <c r="A741" s="66"/>
      <c r="B741" s="71"/>
      <c r="C741" s="63" t="s">
        <v>404</v>
      </c>
      <c r="D741" s="63">
        <v>250000</v>
      </c>
      <c r="E741" s="63">
        <v>5</v>
      </c>
      <c r="F741" s="63">
        <v>3</v>
      </c>
      <c r="G741" s="64">
        <f t="shared" si="98"/>
        <v>3750000</v>
      </c>
      <c r="H741" s="55"/>
      <c r="I741" s="58"/>
      <c r="J741" s="58"/>
      <c r="K741" s="58"/>
      <c r="L741" s="58"/>
      <c r="M741" s="58"/>
      <c r="N741" s="58"/>
      <c r="O741" s="58"/>
      <c r="P741" s="58"/>
    </row>
    <row r="742" spans="1:16" s="59" customFormat="1" ht="15" x14ac:dyDescent="0.25">
      <c r="A742" s="66"/>
      <c r="B742" s="71"/>
      <c r="C742" s="63" t="s">
        <v>405</v>
      </c>
      <c r="D742" s="63">
        <v>100000</v>
      </c>
      <c r="E742" s="63">
        <v>5</v>
      </c>
      <c r="F742" s="63">
        <v>1</v>
      </c>
      <c r="G742" s="64">
        <f t="shared" si="98"/>
        <v>500000</v>
      </c>
      <c r="H742" s="55"/>
      <c r="I742" s="58"/>
      <c r="J742" s="58"/>
      <c r="K742" s="58"/>
      <c r="L742" s="58"/>
      <c r="M742" s="58"/>
      <c r="N742" s="58"/>
      <c r="O742" s="58"/>
      <c r="P742" s="58"/>
    </row>
    <row r="743" spans="1:16" s="59" customFormat="1" ht="15" x14ac:dyDescent="0.25">
      <c r="A743" s="66"/>
      <c r="B743" s="71"/>
      <c r="C743" s="63" t="s">
        <v>406</v>
      </c>
      <c r="D743" s="63">
        <v>250000</v>
      </c>
      <c r="E743" s="63">
        <v>4</v>
      </c>
      <c r="F743" s="63">
        <v>3</v>
      </c>
      <c r="G743" s="64">
        <f t="shared" si="98"/>
        <v>3000000</v>
      </c>
      <c r="H743" s="55"/>
      <c r="I743" s="58"/>
      <c r="J743" s="58"/>
      <c r="K743" s="58"/>
      <c r="L743" s="58"/>
      <c r="M743" s="58"/>
      <c r="N743" s="58"/>
      <c r="O743" s="58"/>
      <c r="P743" s="58"/>
    </row>
    <row r="744" spans="1:16" s="59" customFormat="1" ht="15" x14ac:dyDescent="0.25">
      <c r="A744" s="66"/>
      <c r="B744" s="71"/>
      <c r="C744" s="63" t="s">
        <v>407</v>
      </c>
      <c r="D744" s="63">
        <v>100000</v>
      </c>
      <c r="E744" s="63">
        <f>E743</f>
        <v>4</v>
      </c>
      <c r="F744" s="63">
        <v>1</v>
      </c>
      <c r="G744" s="64">
        <f t="shared" si="98"/>
        <v>400000</v>
      </c>
      <c r="H744" s="55"/>
      <c r="I744" s="58"/>
      <c r="J744" s="58"/>
      <c r="K744" s="58"/>
      <c r="L744" s="58"/>
      <c r="M744" s="58"/>
      <c r="N744" s="58"/>
      <c r="O744" s="58"/>
      <c r="P744" s="58"/>
    </row>
    <row r="745" spans="1:16" s="59" customFormat="1" ht="22.5" x14ac:dyDescent="0.25">
      <c r="A745" s="66"/>
      <c r="B745" s="70"/>
      <c r="C745" s="208" t="s">
        <v>408</v>
      </c>
      <c r="D745" s="63">
        <v>250000</v>
      </c>
      <c r="E745" s="63">
        <v>14</v>
      </c>
      <c r="F745" s="63">
        <v>3</v>
      </c>
      <c r="G745" s="64">
        <f t="shared" si="98"/>
        <v>10500000</v>
      </c>
      <c r="H745" s="55"/>
      <c r="I745" s="58"/>
      <c r="J745" s="58"/>
      <c r="K745" s="58"/>
      <c r="L745" s="58"/>
      <c r="M745" s="58"/>
      <c r="N745" s="58"/>
      <c r="O745" s="58"/>
      <c r="P745" s="58"/>
    </row>
    <row r="746" spans="1:16" s="59" customFormat="1" ht="33.75" x14ac:dyDescent="0.25">
      <c r="A746" s="66"/>
      <c r="B746" s="70"/>
      <c r="C746" s="208" t="s">
        <v>409</v>
      </c>
      <c r="D746" s="63">
        <v>100000</v>
      </c>
      <c r="E746" s="63">
        <f>E745</f>
        <v>14</v>
      </c>
      <c r="F746" s="63">
        <v>1</v>
      </c>
      <c r="G746" s="64">
        <f t="shared" si="98"/>
        <v>1400000</v>
      </c>
      <c r="H746" s="55"/>
      <c r="I746" s="58"/>
      <c r="J746" s="58"/>
      <c r="K746" s="58"/>
      <c r="L746" s="58"/>
      <c r="M746" s="58"/>
      <c r="N746" s="58"/>
      <c r="O746" s="58"/>
      <c r="P746" s="58"/>
    </row>
    <row r="747" spans="1:16" s="59" customFormat="1" ht="22.5" x14ac:dyDescent="0.25">
      <c r="A747" s="66"/>
      <c r="B747" s="70"/>
      <c r="C747" s="209" t="s">
        <v>410</v>
      </c>
      <c r="D747" s="63">
        <v>250000</v>
      </c>
      <c r="E747" s="63">
        <v>4</v>
      </c>
      <c r="F747" s="63">
        <v>3</v>
      </c>
      <c r="G747" s="64">
        <f t="shared" si="98"/>
        <v>3000000</v>
      </c>
      <c r="H747" s="55"/>
      <c r="I747" s="58"/>
      <c r="J747" s="58"/>
      <c r="K747" s="58"/>
      <c r="L747" s="58"/>
      <c r="M747" s="58"/>
      <c r="N747" s="58"/>
      <c r="O747" s="58"/>
      <c r="P747" s="58"/>
    </row>
    <row r="748" spans="1:16" s="59" customFormat="1" ht="22.5" x14ac:dyDescent="0.25">
      <c r="A748" s="66"/>
      <c r="B748" s="70"/>
      <c r="C748" s="209" t="s">
        <v>411</v>
      </c>
      <c r="D748" s="63">
        <v>100000</v>
      </c>
      <c r="E748" s="63">
        <f>E747</f>
        <v>4</v>
      </c>
      <c r="F748" s="63">
        <v>1</v>
      </c>
      <c r="G748" s="64">
        <f t="shared" si="98"/>
        <v>400000</v>
      </c>
      <c r="H748" s="55"/>
      <c r="I748" s="58"/>
      <c r="J748" s="58"/>
      <c r="K748" s="58"/>
      <c r="L748" s="58"/>
      <c r="M748" s="58"/>
      <c r="N748" s="58"/>
      <c r="O748" s="58"/>
      <c r="P748" s="58"/>
    </row>
    <row r="749" spans="1:16" s="59" customFormat="1" ht="15" x14ac:dyDescent="0.25">
      <c r="A749" s="66"/>
      <c r="B749" s="70"/>
      <c r="C749" s="63" t="s">
        <v>412</v>
      </c>
      <c r="D749" s="63">
        <v>250000</v>
      </c>
      <c r="E749" s="63">
        <v>1</v>
      </c>
      <c r="F749" s="63">
        <v>3</v>
      </c>
      <c r="G749" s="64">
        <f t="shared" si="98"/>
        <v>750000</v>
      </c>
      <c r="H749" s="55"/>
      <c r="I749" s="58"/>
      <c r="J749" s="58"/>
      <c r="K749" s="58"/>
      <c r="L749" s="58"/>
      <c r="M749" s="58"/>
      <c r="N749" s="58"/>
      <c r="O749" s="58"/>
      <c r="P749" s="58"/>
    </row>
    <row r="750" spans="1:16" s="59" customFormat="1" ht="15" x14ac:dyDescent="0.25">
      <c r="A750" s="66"/>
      <c r="B750" s="70"/>
      <c r="C750" s="63" t="s">
        <v>413</v>
      </c>
      <c r="D750" s="63">
        <v>100000</v>
      </c>
      <c r="E750" s="63">
        <v>1</v>
      </c>
      <c r="F750" s="63">
        <v>1</v>
      </c>
      <c r="G750" s="64">
        <f t="shared" si="98"/>
        <v>100000</v>
      </c>
      <c r="H750" s="55"/>
      <c r="I750" s="58"/>
      <c r="J750" s="58"/>
      <c r="K750" s="58"/>
      <c r="L750" s="58"/>
      <c r="M750" s="58"/>
      <c r="N750" s="58"/>
      <c r="O750" s="58"/>
      <c r="P750" s="58"/>
    </row>
    <row r="751" spans="1:16" s="59" customFormat="1" ht="15" x14ac:dyDescent="0.25">
      <c r="A751" s="66"/>
      <c r="B751" s="70"/>
      <c r="C751" s="209" t="s">
        <v>414</v>
      </c>
      <c r="D751" s="63">
        <v>250000</v>
      </c>
      <c r="E751" s="63">
        <v>10</v>
      </c>
      <c r="F751" s="63">
        <v>6</v>
      </c>
      <c r="G751" s="64">
        <f t="shared" si="98"/>
        <v>15000000</v>
      </c>
      <c r="H751" s="55"/>
      <c r="I751" s="58"/>
      <c r="J751" s="58"/>
      <c r="K751" s="58"/>
      <c r="L751" s="58"/>
      <c r="M751" s="58"/>
      <c r="N751" s="58"/>
      <c r="O751" s="58"/>
      <c r="P751" s="58"/>
    </row>
    <row r="752" spans="1:16" s="59" customFormat="1" ht="15" x14ac:dyDescent="0.25">
      <c r="A752" s="66"/>
      <c r="B752" s="70"/>
      <c r="C752" s="209" t="s">
        <v>415</v>
      </c>
      <c r="D752" s="63">
        <v>100000</v>
      </c>
      <c r="E752" s="63">
        <f>E751</f>
        <v>10</v>
      </c>
      <c r="F752" s="63">
        <v>1</v>
      </c>
      <c r="G752" s="64">
        <f t="shared" si="98"/>
        <v>1000000</v>
      </c>
      <c r="H752" s="55"/>
      <c r="I752" s="58"/>
      <c r="J752" s="58"/>
      <c r="K752" s="58"/>
      <c r="L752" s="58"/>
      <c r="M752" s="58"/>
      <c r="N752" s="58"/>
      <c r="O752" s="58"/>
      <c r="P752" s="58"/>
    </row>
    <row r="753" spans="1:16" s="59" customFormat="1" ht="15" x14ac:dyDescent="0.25">
      <c r="A753" s="66"/>
      <c r="B753" s="71"/>
      <c r="C753" s="63" t="s">
        <v>416</v>
      </c>
      <c r="D753" s="63">
        <v>250000</v>
      </c>
      <c r="E753" s="63">
        <v>20</v>
      </c>
      <c r="F753" s="63">
        <f>2+3</f>
        <v>5</v>
      </c>
      <c r="G753" s="64">
        <f t="shared" si="98"/>
        <v>25000000</v>
      </c>
      <c r="H753" s="55"/>
      <c r="I753" s="58"/>
      <c r="J753" s="58"/>
      <c r="K753" s="58"/>
      <c r="L753" s="58"/>
      <c r="M753" s="58"/>
      <c r="N753" s="58"/>
      <c r="O753" s="58"/>
      <c r="P753" s="58"/>
    </row>
    <row r="754" spans="1:16" s="59" customFormat="1" ht="15" x14ac:dyDescent="0.25">
      <c r="A754" s="66"/>
      <c r="B754" s="71"/>
      <c r="C754" s="63" t="s">
        <v>417</v>
      </c>
      <c r="D754" s="63">
        <f>D752</f>
        <v>100000</v>
      </c>
      <c r="E754" s="63">
        <f>E753</f>
        <v>20</v>
      </c>
      <c r="F754" s="63">
        <v>1</v>
      </c>
      <c r="G754" s="64">
        <f t="shared" si="98"/>
        <v>2000000</v>
      </c>
      <c r="H754" s="55"/>
      <c r="I754" s="58"/>
      <c r="J754" s="58"/>
      <c r="K754" s="58"/>
      <c r="L754" s="58"/>
      <c r="M754" s="58"/>
      <c r="N754" s="58"/>
      <c r="O754" s="58"/>
      <c r="P754" s="58"/>
    </row>
    <row r="755" spans="1:16" s="59" customFormat="1" ht="22.5" x14ac:dyDescent="0.25">
      <c r="A755" s="66"/>
      <c r="B755" s="70"/>
      <c r="C755" s="209" t="s">
        <v>418</v>
      </c>
      <c r="D755" s="63">
        <v>250000</v>
      </c>
      <c r="E755" s="63">
        <v>50</v>
      </c>
      <c r="F755" s="63">
        <v>4</v>
      </c>
      <c r="G755" s="64">
        <f t="shared" si="98"/>
        <v>50000000</v>
      </c>
      <c r="H755" s="55"/>
      <c r="I755" s="58"/>
      <c r="J755" s="58"/>
      <c r="K755" s="58"/>
      <c r="L755" s="58"/>
      <c r="M755" s="58"/>
      <c r="N755" s="58"/>
      <c r="O755" s="58"/>
      <c r="P755" s="58"/>
    </row>
    <row r="756" spans="1:16" s="59" customFormat="1" ht="22.5" x14ac:dyDescent="0.25">
      <c r="A756" s="66"/>
      <c r="B756" s="70"/>
      <c r="C756" s="209" t="s">
        <v>419</v>
      </c>
      <c r="D756" s="63">
        <v>100000</v>
      </c>
      <c r="E756" s="63">
        <f>E755</f>
        <v>50</v>
      </c>
      <c r="F756" s="63">
        <v>1</v>
      </c>
      <c r="G756" s="64">
        <f t="shared" si="98"/>
        <v>5000000</v>
      </c>
      <c r="H756" s="55"/>
      <c r="I756" s="58"/>
      <c r="J756" s="58"/>
      <c r="K756" s="58"/>
      <c r="L756" s="58"/>
      <c r="M756" s="58"/>
      <c r="N756" s="58"/>
      <c r="O756" s="58"/>
      <c r="P756" s="58"/>
    </row>
    <row r="757" spans="1:16" s="59" customFormat="1" ht="15" x14ac:dyDescent="0.25">
      <c r="A757" s="66"/>
      <c r="B757" s="70"/>
      <c r="C757" s="63" t="s">
        <v>420</v>
      </c>
      <c r="D757" s="63"/>
      <c r="E757" s="63">
        <v>5</v>
      </c>
      <c r="F757" s="63"/>
      <c r="G757" s="64">
        <f t="shared" si="98"/>
        <v>0</v>
      </c>
      <c r="H757" s="55"/>
      <c r="I757" s="58"/>
      <c r="J757" s="58"/>
      <c r="K757" s="58"/>
      <c r="L757" s="58"/>
      <c r="M757" s="58"/>
      <c r="N757" s="58"/>
      <c r="O757" s="58"/>
      <c r="P757" s="58"/>
    </row>
    <row r="758" spans="1:16" s="59" customFormat="1" ht="15" x14ac:dyDescent="0.25">
      <c r="A758" s="66"/>
      <c r="B758" s="70"/>
      <c r="C758" s="209" t="s">
        <v>421</v>
      </c>
      <c r="D758" s="63">
        <v>7500</v>
      </c>
      <c r="E758" s="63">
        <v>10</v>
      </c>
      <c r="F758" s="63">
        <v>2</v>
      </c>
      <c r="G758" s="64">
        <f t="shared" si="98"/>
        <v>150000</v>
      </c>
      <c r="H758" s="55"/>
      <c r="I758" s="58"/>
      <c r="J758" s="58"/>
      <c r="K758" s="58"/>
      <c r="L758" s="58"/>
      <c r="M758" s="58"/>
      <c r="N758" s="58"/>
      <c r="O758" s="58"/>
      <c r="P758" s="58"/>
    </row>
    <row r="759" spans="1:16" s="212" customFormat="1" ht="15" x14ac:dyDescent="0.25">
      <c r="A759" s="66"/>
      <c r="B759" s="70"/>
      <c r="C759" s="63" t="s">
        <v>422</v>
      </c>
      <c r="D759" s="63">
        <v>7500</v>
      </c>
      <c r="E759" s="63">
        <v>21</v>
      </c>
      <c r="F759" s="63">
        <v>2</v>
      </c>
      <c r="G759" s="64">
        <f t="shared" si="98"/>
        <v>315000</v>
      </c>
      <c r="H759" s="210"/>
      <c r="I759" s="211"/>
      <c r="J759" s="211"/>
      <c r="K759" s="211"/>
      <c r="L759" s="211"/>
      <c r="M759" s="211"/>
      <c r="N759" s="211"/>
      <c r="O759" s="211"/>
      <c r="P759" s="211"/>
    </row>
    <row r="760" spans="1:16" s="212" customFormat="1" ht="15" x14ac:dyDescent="0.25">
      <c r="A760" s="66"/>
      <c r="B760" s="70"/>
      <c r="C760" s="63" t="s">
        <v>195</v>
      </c>
      <c r="D760" s="63">
        <v>7500</v>
      </c>
      <c r="E760" s="63">
        <f>21*4</f>
        <v>84</v>
      </c>
      <c r="F760" s="63">
        <v>2</v>
      </c>
      <c r="G760" s="64">
        <f t="shared" si="98"/>
        <v>1260000</v>
      </c>
      <c r="H760" s="210"/>
      <c r="I760" s="211"/>
      <c r="J760" s="211"/>
      <c r="K760" s="211"/>
      <c r="L760" s="211"/>
      <c r="M760" s="211"/>
      <c r="N760" s="211"/>
      <c r="O760" s="211"/>
      <c r="P760" s="211"/>
    </row>
    <row r="761" spans="1:16" s="212" customFormat="1" ht="15" x14ac:dyDescent="0.25">
      <c r="A761" s="66"/>
      <c r="B761" s="70"/>
      <c r="C761" s="63" t="s">
        <v>423</v>
      </c>
      <c r="D761" s="63">
        <v>7500</v>
      </c>
      <c r="E761" s="63">
        <v>21</v>
      </c>
      <c r="F761" s="63">
        <v>2</v>
      </c>
      <c r="G761" s="64">
        <f t="shared" si="98"/>
        <v>315000</v>
      </c>
      <c r="H761" s="210"/>
      <c r="I761" s="211"/>
      <c r="J761" s="211"/>
      <c r="K761" s="211"/>
      <c r="L761" s="211"/>
      <c r="M761" s="211"/>
      <c r="N761" s="211"/>
      <c r="O761" s="211"/>
      <c r="P761" s="211"/>
    </row>
    <row r="762" spans="1:16" s="212" customFormat="1" ht="15" x14ac:dyDescent="0.25">
      <c r="A762" s="66"/>
      <c r="B762" s="70"/>
      <c r="C762" s="63" t="s">
        <v>424</v>
      </c>
      <c r="D762" s="63">
        <v>7500</v>
      </c>
      <c r="E762" s="63">
        <v>21</v>
      </c>
      <c r="F762" s="63">
        <v>2</v>
      </c>
      <c r="G762" s="64">
        <f t="shared" si="98"/>
        <v>315000</v>
      </c>
      <c r="H762" s="210"/>
      <c r="I762" s="211"/>
      <c r="J762" s="211"/>
      <c r="K762" s="211"/>
      <c r="L762" s="211"/>
      <c r="M762" s="211"/>
      <c r="N762" s="211"/>
      <c r="O762" s="211"/>
      <c r="P762" s="211"/>
    </row>
    <row r="763" spans="1:16" s="212" customFormat="1" ht="15" x14ac:dyDescent="0.25">
      <c r="A763" s="66"/>
      <c r="B763" s="70"/>
      <c r="C763" s="63" t="s">
        <v>425</v>
      </c>
      <c r="D763" s="63">
        <v>7500</v>
      </c>
      <c r="E763" s="63">
        <v>21</v>
      </c>
      <c r="F763" s="63">
        <v>2</v>
      </c>
      <c r="G763" s="64">
        <f t="shared" si="98"/>
        <v>315000</v>
      </c>
      <c r="H763" s="210"/>
      <c r="I763" s="211"/>
      <c r="J763" s="211"/>
      <c r="K763" s="211"/>
      <c r="L763" s="211"/>
      <c r="M763" s="211"/>
      <c r="N763" s="211"/>
      <c r="O763" s="211"/>
      <c r="P763" s="211"/>
    </row>
    <row r="764" spans="1:16" s="212" customFormat="1" ht="15" x14ac:dyDescent="0.25">
      <c r="A764" s="66"/>
      <c r="B764" s="70"/>
      <c r="C764" s="63" t="s">
        <v>426</v>
      </c>
      <c r="D764" s="63">
        <v>7500</v>
      </c>
      <c r="E764" s="63">
        <v>21</v>
      </c>
      <c r="F764" s="63">
        <v>2</v>
      </c>
      <c r="G764" s="64">
        <f t="shared" si="98"/>
        <v>315000</v>
      </c>
      <c r="H764" s="210"/>
      <c r="I764" s="211"/>
      <c r="J764" s="211"/>
      <c r="K764" s="211"/>
      <c r="L764" s="211"/>
      <c r="M764" s="211"/>
      <c r="N764" s="211"/>
      <c r="O764" s="211"/>
      <c r="P764" s="211"/>
    </row>
    <row r="765" spans="1:16" s="212" customFormat="1" ht="15" x14ac:dyDescent="0.25">
      <c r="A765" s="66"/>
      <c r="B765" s="70"/>
      <c r="C765" s="63" t="s">
        <v>427</v>
      </c>
      <c r="D765" s="63">
        <v>1500000</v>
      </c>
      <c r="E765" s="63">
        <v>1</v>
      </c>
      <c r="F765" s="63">
        <v>2</v>
      </c>
      <c r="G765" s="64">
        <f t="shared" si="98"/>
        <v>3000000</v>
      </c>
      <c r="H765" s="210"/>
      <c r="I765" s="211"/>
      <c r="J765" s="211"/>
      <c r="K765" s="211"/>
      <c r="L765" s="211"/>
      <c r="M765" s="211"/>
      <c r="N765" s="211"/>
      <c r="O765" s="211"/>
      <c r="P765" s="211"/>
    </row>
    <row r="766" spans="1:16" s="59" customFormat="1" ht="15" x14ac:dyDescent="0.25">
      <c r="A766" s="66"/>
      <c r="B766" s="70"/>
      <c r="C766" s="63" t="s">
        <v>428</v>
      </c>
      <c r="D766" s="63">
        <v>7500</v>
      </c>
      <c r="E766" s="63">
        <v>140</v>
      </c>
      <c r="F766" s="63">
        <v>2</v>
      </c>
      <c r="G766" s="64">
        <f t="shared" si="98"/>
        <v>2100000</v>
      </c>
      <c r="H766" s="55"/>
      <c r="I766" s="58"/>
      <c r="J766" s="58"/>
      <c r="K766" s="58"/>
      <c r="L766" s="58"/>
      <c r="M766" s="58"/>
      <c r="N766" s="58"/>
      <c r="O766" s="58"/>
      <c r="P766" s="58"/>
    </row>
    <row r="767" spans="1:16" s="59" customFormat="1" ht="15" x14ac:dyDescent="0.25">
      <c r="A767" s="66"/>
      <c r="B767" s="70"/>
      <c r="C767" s="63" t="s">
        <v>429</v>
      </c>
      <c r="D767" s="63">
        <v>7500</v>
      </c>
      <c r="E767" s="63">
        <v>127</v>
      </c>
      <c r="F767" s="63">
        <v>2</v>
      </c>
      <c r="G767" s="64">
        <f t="shared" si="98"/>
        <v>1905000</v>
      </c>
      <c r="H767" s="55"/>
      <c r="I767" s="58"/>
      <c r="J767" s="58"/>
      <c r="K767" s="58"/>
      <c r="L767" s="58"/>
      <c r="M767" s="58"/>
      <c r="N767" s="58"/>
      <c r="O767" s="58"/>
      <c r="P767" s="58"/>
    </row>
    <row r="768" spans="1:16" s="59" customFormat="1" ht="15" x14ac:dyDescent="0.25">
      <c r="A768" s="66"/>
      <c r="B768" s="70"/>
      <c r="C768" s="63" t="s">
        <v>430</v>
      </c>
      <c r="D768" s="63">
        <v>7500</v>
      </c>
      <c r="E768" s="63">
        <v>108</v>
      </c>
      <c r="F768" s="63">
        <v>2</v>
      </c>
      <c r="G768" s="64">
        <f t="shared" si="98"/>
        <v>1620000</v>
      </c>
      <c r="H768" s="55"/>
      <c r="I768" s="58"/>
      <c r="J768" s="58"/>
      <c r="K768" s="58"/>
      <c r="L768" s="58"/>
      <c r="M768" s="58"/>
      <c r="N768" s="58"/>
      <c r="O768" s="58"/>
      <c r="P768" s="58"/>
    </row>
    <row r="769" spans="1:16" s="59" customFormat="1" ht="15" x14ac:dyDescent="0.25">
      <c r="A769" s="66"/>
      <c r="B769" s="70"/>
      <c r="C769" s="63" t="s">
        <v>431</v>
      </c>
      <c r="D769" s="63">
        <v>7500</v>
      </c>
      <c r="E769" s="63">
        <v>98</v>
      </c>
      <c r="F769" s="63">
        <v>2</v>
      </c>
      <c r="G769" s="64">
        <f t="shared" si="98"/>
        <v>1470000</v>
      </c>
      <c r="H769" s="55"/>
      <c r="I769" s="58"/>
      <c r="J769" s="58"/>
      <c r="K769" s="58"/>
      <c r="L769" s="58"/>
      <c r="M769" s="58"/>
      <c r="N769" s="58"/>
      <c r="O769" s="58"/>
      <c r="P769" s="58"/>
    </row>
    <row r="770" spans="1:16" s="59" customFormat="1" ht="15" x14ac:dyDescent="0.25">
      <c r="A770" s="66"/>
      <c r="B770" s="70"/>
      <c r="C770" s="63" t="s">
        <v>432</v>
      </c>
      <c r="D770" s="63">
        <v>7500</v>
      </c>
      <c r="E770" s="63">
        <v>122</v>
      </c>
      <c r="F770" s="63">
        <v>2</v>
      </c>
      <c r="G770" s="64">
        <f t="shared" si="98"/>
        <v>1830000</v>
      </c>
      <c r="H770" s="55"/>
      <c r="I770" s="58"/>
      <c r="J770" s="58"/>
      <c r="K770" s="58"/>
      <c r="L770" s="58"/>
      <c r="M770" s="58"/>
      <c r="N770" s="58"/>
      <c r="O770" s="58"/>
      <c r="P770" s="58"/>
    </row>
    <row r="771" spans="1:16" s="59" customFormat="1" ht="15" x14ac:dyDescent="0.25">
      <c r="A771" s="66"/>
      <c r="B771" s="70"/>
      <c r="C771" s="63" t="s">
        <v>433</v>
      </c>
      <c r="D771" s="63">
        <v>7500</v>
      </c>
      <c r="E771" s="63">
        <v>96</v>
      </c>
      <c r="F771" s="63">
        <v>2</v>
      </c>
      <c r="G771" s="64">
        <f t="shared" si="98"/>
        <v>1440000</v>
      </c>
      <c r="H771" s="55"/>
      <c r="I771" s="58"/>
      <c r="J771" s="58"/>
      <c r="K771" s="58"/>
      <c r="L771" s="58"/>
      <c r="M771" s="58"/>
      <c r="N771" s="58"/>
      <c r="O771" s="58"/>
      <c r="P771" s="58"/>
    </row>
    <row r="772" spans="1:16" s="59" customFormat="1" ht="15" x14ac:dyDescent="0.25">
      <c r="A772" s="66"/>
      <c r="B772" s="70"/>
      <c r="C772" s="63" t="s">
        <v>434</v>
      </c>
      <c r="D772" s="63">
        <v>7500</v>
      </c>
      <c r="E772" s="63">
        <v>97</v>
      </c>
      <c r="F772" s="63">
        <v>2</v>
      </c>
      <c r="G772" s="64">
        <f t="shared" si="98"/>
        <v>1455000</v>
      </c>
      <c r="H772" s="55"/>
      <c r="I772" s="58"/>
      <c r="J772" s="58"/>
      <c r="K772" s="58"/>
      <c r="L772" s="58"/>
      <c r="M772" s="58"/>
      <c r="N772" s="58"/>
      <c r="O772" s="58"/>
      <c r="P772" s="58"/>
    </row>
    <row r="773" spans="1:16" s="59" customFormat="1" ht="15" x14ac:dyDescent="0.25">
      <c r="A773" s="66"/>
      <c r="B773" s="70"/>
      <c r="C773" s="63" t="s">
        <v>435</v>
      </c>
      <c r="D773" s="63">
        <v>7500</v>
      </c>
      <c r="E773" s="63">
        <v>113</v>
      </c>
      <c r="F773" s="63">
        <v>2</v>
      </c>
      <c r="G773" s="64">
        <f t="shared" si="98"/>
        <v>1695000</v>
      </c>
      <c r="H773" s="55"/>
      <c r="I773" s="58"/>
      <c r="J773" s="58"/>
      <c r="K773" s="58"/>
      <c r="L773" s="58"/>
      <c r="M773" s="58"/>
      <c r="N773" s="58"/>
      <c r="O773" s="58"/>
      <c r="P773" s="58"/>
    </row>
    <row r="774" spans="1:16" s="59" customFormat="1" ht="15" x14ac:dyDescent="0.25">
      <c r="A774" s="66"/>
      <c r="B774" s="70"/>
      <c r="C774" s="63" t="s">
        <v>436</v>
      </c>
      <c r="D774" s="63">
        <v>7500</v>
      </c>
      <c r="E774" s="63">
        <v>88</v>
      </c>
      <c r="F774" s="63">
        <v>2</v>
      </c>
      <c r="G774" s="64">
        <f t="shared" si="98"/>
        <v>1320000</v>
      </c>
      <c r="H774" s="55"/>
      <c r="I774" s="58"/>
      <c r="J774" s="58"/>
      <c r="K774" s="58"/>
      <c r="L774" s="58"/>
      <c r="M774" s="58"/>
      <c r="N774" s="58"/>
      <c r="O774" s="58"/>
      <c r="P774" s="58"/>
    </row>
    <row r="775" spans="1:16" s="59" customFormat="1" ht="15" x14ac:dyDescent="0.25">
      <c r="A775" s="66"/>
      <c r="B775" s="70"/>
      <c r="C775" s="63" t="s">
        <v>437</v>
      </c>
      <c r="D775" s="63">
        <v>7500</v>
      </c>
      <c r="E775" s="63">
        <v>56</v>
      </c>
      <c r="F775" s="63">
        <v>2</v>
      </c>
      <c r="G775" s="64">
        <f t="shared" si="98"/>
        <v>840000</v>
      </c>
      <c r="H775" s="55"/>
      <c r="I775" s="58"/>
      <c r="J775" s="58"/>
      <c r="K775" s="58"/>
      <c r="L775" s="58"/>
      <c r="M775" s="58"/>
      <c r="N775" s="58"/>
      <c r="O775" s="58"/>
      <c r="P775" s="58"/>
    </row>
    <row r="776" spans="1:16" s="59" customFormat="1" ht="15" x14ac:dyDescent="0.25">
      <c r="A776" s="66"/>
      <c r="B776" s="70"/>
      <c r="C776" s="63" t="s">
        <v>438</v>
      </c>
      <c r="D776" s="63">
        <v>7500</v>
      </c>
      <c r="E776" s="63">
        <v>68</v>
      </c>
      <c r="F776" s="63">
        <v>2</v>
      </c>
      <c r="G776" s="64">
        <f t="shared" si="98"/>
        <v>1020000</v>
      </c>
      <c r="H776" s="55"/>
      <c r="I776" s="58"/>
      <c r="J776" s="58"/>
      <c r="K776" s="58"/>
      <c r="L776" s="58"/>
      <c r="M776" s="58"/>
      <c r="N776" s="58"/>
      <c r="O776" s="58"/>
      <c r="P776" s="58"/>
    </row>
    <row r="777" spans="1:16" s="59" customFormat="1" ht="15" x14ac:dyDescent="0.25">
      <c r="A777" s="66"/>
      <c r="B777" s="70"/>
      <c r="C777" s="63" t="s">
        <v>439</v>
      </c>
      <c r="D777" s="63">
        <v>7500</v>
      </c>
      <c r="E777" s="63">
        <v>56</v>
      </c>
      <c r="F777" s="63">
        <v>2</v>
      </c>
      <c r="G777" s="64">
        <f t="shared" si="98"/>
        <v>840000</v>
      </c>
      <c r="H777" s="55"/>
      <c r="I777" s="58"/>
      <c r="J777" s="58"/>
      <c r="K777" s="58"/>
      <c r="L777" s="58"/>
      <c r="M777" s="58"/>
      <c r="N777" s="58"/>
      <c r="O777" s="58"/>
      <c r="P777" s="58"/>
    </row>
    <row r="778" spans="1:16" s="59" customFormat="1" ht="15" x14ac:dyDescent="0.25">
      <c r="A778" s="66"/>
      <c r="B778" s="70"/>
      <c r="C778" s="63" t="s">
        <v>440</v>
      </c>
      <c r="D778" s="63">
        <v>7500</v>
      </c>
      <c r="E778" s="63">
        <v>43</v>
      </c>
      <c r="F778" s="63">
        <v>2</v>
      </c>
      <c r="G778" s="64">
        <f t="shared" si="98"/>
        <v>645000</v>
      </c>
      <c r="H778" s="55"/>
      <c r="I778" s="58"/>
      <c r="J778" s="58"/>
      <c r="K778" s="58"/>
      <c r="L778" s="58"/>
      <c r="M778" s="58"/>
      <c r="N778" s="58"/>
      <c r="O778" s="58"/>
      <c r="P778" s="58"/>
    </row>
    <row r="779" spans="1:16" s="59" customFormat="1" ht="15" x14ac:dyDescent="0.25">
      <c r="A779" s="66"/>
      <c r="B779" s="70"/>
      <c r="C779" s="63" t="s">
        <v>441</v>
      </c>
      <c r="D779" s="63">
        <v>7500</v>
      </c>
      <c r="E779" s="63">
        <v>30</v>
      </c>
      <c r="F779" s="63">
        <v>2</v>
      </c>
      <c r="G779" s="64">
        <f t="shared" si="98"/>
        <v>450000</v>
      </c>
      <c r="H779" s="55"/>
      <c r="I779" s="58"/>
      <c r="J779" s="58"/>
      <c r="K779" s="58"/>
      <c r="L779" s="58"/>
      <c r="M779" s="58"/>
      <c r="N779" s="58"/>
      <c r="O779" s="58"/>
      <c r="P779" s="58"/>
    </row>
    <row r="780" spans="1:16" s="59" customFormat="1" ht="15" x14ac:dyDescent="0.25">
      <c r="A780" s="66"/>
      <c r="B780" s="70"/>
      <c r="C780" s="63" t="s">
        <v>442</v>
      </c>
      <c r="D780" s="63">
        <v>7500</v>
      </c>
      <c r="E780" s="63">
        <v>55</v>
      </c>
      <c r="F780" s="63">
        <v>2</v>
      </c>
      <c r="G780" s="64">
        <f t="shared" si="98"/>
        <v>825000</v>
      </c>
      <c r="H780" s="55"/>
      <c r="I780" s="58"/>
      <c r="J780" s="58"/>
      <c r="K780" s="58"/>
      <c r="L780" s="58"/>
      <c r="M780" s="58"/>
      <c r="N780" s="58"/>
      <c r="O780" s="58"/>
      <c r="P780" s="58"/>
    </row>
    <row r="781" spans="1:16" s="59" customFormat="1" ht="15" x14ac:dyDescent="0.25">
      <c r="A781" s="66"/>
      <c r="B781" s="70"/>
      <c r="C781" s="63" t="s">
        <v>443</v>
      </c>
      <c r="D781" s="63">
        <v>7500</v>
      </c>
      <c r="E781" s="63">
        <v>70</v>
      </c>
      <c r="F781" s="63">
        <v>2</v>
      </c>
      <c r="G781" s="64">
        <f t="shared" si="98"/>
        <v>1050000</v>
      </c>
      <c r="H781" s="55"/>
      <c r="I781" s="58"/>
      <c r="J781" s="58"/>
      <c r="K781" s="58"/>
      <c r="L781" s="58"/>
      <c r="M781" s="58"/>
      <c r="N781" s="58"/>
      <c r="O781" s="58"/>
      <c r="P781" s="58"/>
    </row>
    <row r="782" spans="1:16" s="59" customFormat="1" ht="15" x14ac:dyDescent="0.25">
      <c r="A782" s="66"/>
      <c r="B782" s="70"/>
      <c r="C782" s="208" t="s">
        <v>231</v>
      </c>
      <c r="D782" s="63">
        <v>1000000</v>
      </c>
      <c r="E782" s="63">
        <v>1</v>
      </c>
      <c r="F782" s="63">
        <v>3</v>
      </c>
      <c r="G782" s="64">
        <f>D782*E782*F782</f>
        <v>3000000</v>
      </c>
      <c r="H782" s="55"/>
      <c r="I782" s="58"/>
      <c r="J782" s="58"/>
      <c r="K782" s="58"/>
      <c r="L782" s="58"/>
      <c r="M782" s="58"/>
      <c r="N782" s="58"/>
      <c r="O782" s="58"/>
      <c r="P782" s="58"/>
    </row>
    <row r="783" spans="1:16" s="59" customFormat="1" ht="15" x14ac:dyDescent="0.25">
      <c r="A783" s="66"/>
      <c r="B783" s="70"/>
      <c r="C783" s="208" t="s">
        <v>97</v>
      </c>
      <c r="D783" s="63">
        <v>30000</v>
      </c>
      <c r="E783" s="63">
        <v>50</v>
      </c>
      <c r="F783" s="63">
        <v>3</v>
      </c>
      <c r="G783" s="64">
        <f>D783*E783*F783</f>
        <v>4500000</v>
      </c>
      <c r="H783" s="55"/>
      <c r="I783" s="58"/>
      <c r="J783" s="58"/>
      <c r="K783" s="58"/>
      <c r="L783" s="58"/>
      <c r="M783" s="58"/>
      <c r="N783" s="58"/>
      <c r="O783" s="58"/>
      <c r="P783" s="58"/>
    </row>
    <row r="784" spans="1:16" s="59" customFormat="1" ht="15" x14ac:dyDescent="0.25">
      <c r="A784" s="66"/>
      <c r="B784" s="70"/>
      <c r="C784" s="63" t="s">
        <v>60</v>
      </c>
      <c r="D784" s="63">
        <f>G784/E784/F784</f>
        <v>25800</v>
      </c>
      <c r="E784" s="63">
        <f>E783</f>
        <v>50</v>
      </c>
      <c r="F784" s="63">
        <v>3</v>
      </c>
      <c r="G784" s="64">
        <f>4230000-360000</f>
        <v>3870000</v>
      </c>
      <c r="H784" s="55"/>
      <c r="I784" s="58"/>
      <c r="J784" s="58"/>
      <c r="K784" s="58"/>
      <c r="L784" s="58"/>
      <c r="M784" s="58"/>
      <c r="N784" s="58"/>
      <c r="O784" s="58"/>
      <c r="P784" s="58"/>
    </row>
    <row r="785" spans="1:16" s="59" customFormat="1" ht="15.75" thickBot="1" x14ac:dyDescent="0.3">
      <c r="A785" s="66"/>
      <c r="B785" s="71"/>
      <c r="C785" s="63"/>
      <c r="D785" s="63"/>
      <c r="E785" s="63"/>
      <c r="F785" s="63"/>
      <c r="G785" s="64"/>
      <c r="H785" s="55"/>
      <c r="I785" s="58"/>
      <c r="J785" s="58"/>
      <c r="K785" s="58"/>
      <c r="L785" s="58"/>
      <c r="M785" s="58"/>
      <c r="N785" s="58"/>
      <c r="O785" s="58"/>
      <c r="P785" s="58"/>
    </row>
    <row r="786" spans="1:16" s="59" customFormat="1" ht="15.75" thickBot="1" x14ac:dyDescent="0.3">
      <c r="A786" s="66"/>
      <c r="B786" s="71"/>
      <c r="C786" s="72" t="s">
        <v>140</v>
      </c>
      <c r="D786" s="72"/>
      <c r="E786" s="72"/>
      <c r="F786" s="72"/>
      <c r="G786" s="73">
        <f>SUM(G732:G784)</f>
        <v>181180000</v>
      </c>
      <c r="H786" s="74">
        <f>G786/8136</f>
        <v>22268.928220255653</v>
      </c>
      <c r="I786" s="58"/>
      <c r="J786" s="56"/>
      <c r="K786" s="58"/>
      <c r="L786" s="58"/>
      <c r="M786" s="58"/>
      <c r="N786" s="58"/>
      <c r="O786" s="58"/>
      <c r="P786" s="58"/>
    </row>
    <row r="787" spans="1:16" s="59" customFormat="1" ht="15" x14ac:dyDescent="0.25">
      <c r="A787" s="66"/>
      <c r="B787" s="71"/>
      <c r="C787" s="63"/>
      <c r="D787" s="63"/>
      <c r="E787" s="63"/>
      <c r="F787" s="63"/>
      <c r="G787" s="64"/>
      <c r="H787" s="55"/>
      <c r="I787" s="58"/>
      <c r="J787" s="58"/>
      <c r="K787" s="58"/>
      <c r="L787" s="58"/>
      <c r="M787" s="58"/>
      <c r="N787" s="58"/>
      <c r="O787" s="58"/>
      <c r="P787" s="58"/>
    </row>
    <row r="788" spans="1:16" s="59" customFormat="1" ht="15.75" thickBot="1" x14ac:dyDescent="0.3">
      <c r="A788" s="213"/>
      <c r="B788" s="214"/>
      <c r="C788" s="214"/>
      <c r="D788" s="215"/>
      <c r="E788" s="215"/>
      <c r="F788" s="216"/>
      <c r="G788" s="217"/>
      <c r="H788" s="55"/>
      <c r="I788" s="58"/>
      <c r="J788" s="58"/>
      <c r="K788" s="58"/>
      <c r="L788" s="58"/>
      <c r="M788" s="58"/>
      <c r="N788" s="58"/>
      <c r="O788" s="58"/>
      <c r="P788" s="58"/>
    </row>
    <row r="789" spans="1:16" s="57" customFormat="1" ht="12.75" thickBot="1" x14ac:dyDescent="0.3">
      <c r="A789" s="218"/>
      <c r="G789" s="219"/>
      <c r="H789" s="55"/>
    </row>
    <row r="790" spans="1:16" s="59" customFormat="1" ht="15" x14ac:dyDescent="0.25">
      <c r="A790" s="207">
        <v>2.1</v>
      </c>
      <c r="B790" s="757" t="s">
        <v>444</v>
      </c>
      <c r="C790" s="53" t="s">
        <v>39</v>
      </c>
      <c r="D790" s="53">
        <v>150000</v>
      </c>
      <c r="E790" s="53">
        <v>1</v>
      </c>
      <c r="F790" s="53">
        <v>1</v>
      </c>
      <c r="G790" s="54">
        <f t="shared" ref="G790:G820" si="99">D790*E790*F790</f>
        <v>150000</v>
      </c>
      <c r="H790" s="55"/>
      <c r="I790" s="58"/>
      <c r="J790" s="58"/>
      <c r="K790" s="58"/>
      <c r="L790" s="58"/>
      <c r="M790" s="58"/>
      <c r="N790" s="58"/>
      <c r="O790" s="58"/>
      <c r="P790" s="58"/>
    </row>
    <row r="791" spans="1:16" s="59" customFormat="1" ht="15" x14ac:dyDescent="0.25">
      <c r="A791" s="66"/>
      <c r="B791" s="758"/>
      <c r="C791" s="63" t="s">
        <v>445</v>
      </c>
      <c r="D791" s="63">
        <v>270000</v>
      </c>
      <c r="E791" s="63">
        <v>1</v>
      </c>
      <c r="F791" s="63">
        <v>6</v>
      </c>
      <c r="G791" s="64">
        <f t="shared" si="99"/>
        <v>1620000</v>
      </c>
      <c r="H791" s="55"/>
      <c r="I791" s="58"/>
      <c r="J791" s="58"/>
      <c r="K791" s="58"/>
      <c r="L791" s="58"/>
      <c r="M791" s="58"/>
      <c r="N791" s="58"/>
      <c r="O791" s="58"/>
      <c r="P791" s="58"/>
    </row>
    <row r="792" spans="1:16" s="59" customFormat="1" ht="15" x14ac:dyDescent="0.25">
      <c r="A792" s="66"/>
      <c r="B792" s="758"/>
      <c r="C792" s="63" t="s">
        <v>446</v>
      </c>
      <c r="D792" s="63">
        <v>100000</v>
      </c>
      <c r="E792" s="63">
        <v>1</v>
      </c>
      <c r="F792" s="63">
        <v>1</v>
      </c>
      <c r="G792" s="64">
        <f t="shared" si="99"/>
        <v>100000</v>
      </c>
      <c r="H792" s="55"/>
      <c r="I792" s="58"/>
      <c r="J792" s="58"/>
      <c r="K792" s="58"/>
      <c r="L792" s="58"/>
      <c r="M792" s="58"/>
      <c r="N792" s="58"/>
      <c r="O792" s="58"/>
      <c r="P792" s="58"/>
    </row>
    <row r="793" spans="1:16" s="59" customFormat="1" ht="22.5" x14ac:dyDescent="0.25">
      <c r="A793" s="66"/>
      <c r="B793" s="758"/>
      <c r="C793" s="208" t="s">
        <v>447</v>
      </c>
      <c r="D793" s="63">
        <v>250000</v>
      </c>
      <c r="E793" s="63">
        <v>5</v>
      </c>
      <c r="F793" s="63">
        <v>6</v>
      </c>
      <c r="G793" s="64">
        <f t="shared" si="99"/>
        <v>7500000</v>
      </c>
      <c r="H793" s="55"/>
      <c r="I793" s="58"/>
      <c r="J793" s="58"/>
      <c r="K793" s="58"/>
      <c r="L793" s="58"/>
      <c r="M793" s="58"/>
      <c r="N793" s="58"/>
      <c r="O793" s="58"/>
      <c r="P793" s="58"/>
    </row>
    <row r="794" spans="1:16" s="59" customFormat="1" ht="22.5" x14ac:dyDescent="0.25">
      <c r="A794" s="66"/>
      <c r="B794" s="71"/>
      <c r="C794" s="208" t="s">
        <v>448</v>
      </c>
      <c r="D794" s="63">
        <f>D792</f>
        <v>100000</v>
      </c>
      <c r="E794" s="63">
        <f>E793</f>
        <v>5</v>
      </c>
      <c r="F794" s="63">
        <v>1</v>
      </c>
      <c r="G794" s="64">
        <f t="shared" si="99"/>
        <v>500000</v>
      </c>
      <c r="H794" s="55"/>
      <c r="I794" s="58"/>
      <c r="J794" s="58"/>
      <c r="K794" s="58"/>
      <c r="L794" s="58"/>
      <c r="M794" s="58"/>
      <c r="N794" s="58"/>
      <c r="O794" s="58"/>
      <c r="P794" s="58"/>
    </row>
    <row r="795" spans="1:16" s="59" customFormat="1" ht="15" x14ac:dyDescent="0.25">
      <c r="A795" s="66"/>
      <c r="B795" s="71"/>
      <c r="C795" s="63" t="s">
        <v>449</v>
      </c>
      <c r="D795" s="63">
        <f>D793</f>
        <v>250000</v>
      </c>
      <c r="E795" s="63">
        <v>3</v>
      </c>
      <c r="F795" s="63">
        <v>6</v>
      </c>
      <c r="G795" s="64">
        <f t="shared" si="99"/>
        <v>4500000</v>
      </c>
      <c r="H795" s="55"/>
      <c r="I795" s="58"/>
      <c r="J795" s="58"/>
      <c r="K795" s="58"/>
      <c r="L795" s="58"/>
      <c r="M795" s="58"/>
      <c r="N795" s="58"/>
      <c r="O795" s="58"/>
      <c r="P795" s="58"/>
    </row>
    <row r="796" spans="1:16" s="59" customFormat="1" ht="15" x14ac:dyDescent="0.25">
      <c r="A796" s="66"/>
      <c r="B796" s="71"/>
      <c r="C796" s="63" t="s">
        <v>450</v>
      </c>
      <c r="D796" s="63">
        <f>D794</f>
        <v>100000</v>
      </c>
      <c r="E796" s="63">
        <f>E795</f>
        <v>3</v>
      </c>
      <c r="F796" s="63">
        <v>1</v>
      </c>
      <c r="G796" s="64">
        <f t="shared" si="99"/>
        <v>300000</v>
      </c>
      <c r="H796" s="55"/>
      <c r="I796" s="58"/>
      <c r="J796" s="58"/>
      <c r="K796" s="58"/>
      <c r="L796" s="58"/>
      <c r="M796" s="58"/>
      <c r="N796" s="58"/>
      <c r="O796" s="58"/>
      <c r="P796" s="58"/>
    </row>
    <row r="797" spans="1:16" s="59" customFormat="1" ht="15" x14ac:dyDescent="0.25">
      <c r="A797" s="66"/>
      <c r="B797" s="70"/>
      <c r="C797" s="63" t="s">
        <v>451</v>
      </c>
      <c r="D797" s="63">
        <v>250000</v>
      </c>
      <c r="E797" s="63">
        <v>3</v>
      </c>
      <c r="F797" s="63">
        <v>6</v>
      </c>
      <c r="G797" s="64">
        <f t="shared" si="99"/>
        <v>4500000</v>
      </c>
      <c r="H797" s="55"/>
      <c r="I797" s="58"/>
      <c r="J797" s="58"/>
      <c r="K797" s="58"/>
      <c r="L797" s="58"/>
      <c r="M797" s="58"/>
      <c r="N797" s="58"/>
      <c r="O797" s="58"/>
      <c r="P797" s="58"/>
    </row>
    <row r="798" spans="1:16" s="59" customFormat="1" ht="15" x14ac:dyDescent="0.25">
      <c r="A798" s="66"/>
      <c r="B798" s="70"/>
      <c r="C798" s="63" t="s">
        <v>452</v>
      </c>
      <c r="D798" s="63">
        <f>D796</f>
        <v>100000</v>
      </c>
      <c r="E798" s="63">
        <v>3</v>
      </c>
      <c r="F798" s="63">
        <v>1</v>
      </c>
      <c r="G798" s="64">
        <f t="shared" si="99"/>
        <v>300000</v>
      </c>
      <c r="H798" s="55"/>
      <c r="I798" s="58"/>
      <c r="J798" s="58"/>
      <c r="K798" s="58"/>
      <c r="L798" s="58"/>
      <c r="M798" s="58"/>
      <c r="N798" s="58"/>
      <c r="O798" s="58"/>
      <c r="P798" s="58"/>
    </row>
    <row r="799" spans="1:16" s="59" customFormat="1" ht="15" x14ac:dyDescent="0.25">
      <c r="A799" s="66"/>
      <c r="B799" s="70"/>
      <c r="C799" s="63" t="s">
        <v>453</v>
      </c>
      <c r="D799" s="63">
        <v>250000</v>
      </c>
      <c r="E799" s="63">
        <f>4*2</f>
        <v>8</v>
      </c>
      <c r="F799" s="63">
        <v>6</v>
      </c>
      <c r="G799" s="64">
        <f t="shared" si="99"/>
        <v>12000000</v>
      </c>
      <c r="H799" s="55"/>
      <c r="I799" s="58"/>
      <c r="J799" s="58"/>
      <c r="K799" s="58"/>
      <c r="L799" s="58"/>
      <c r="M799" s="58"/>
      <c r="N799" s="58"/>
      <c r="O799" s="58"/>
      <c r="P799" s="58"/>
    </row>
    <row r="800" spans="1:16" s="59" customFormat="1" ht="15" x14ac:dyDescent="0.25">
      <c r="A800" s="66"/>
      <c r="B800" s="70"/>
      <c r="C800" s="63" t="s">
        <v>454</v>
      </c>
      <c r="D800" s="63">
        <f>D798</f>
        <v>100000</v>
      </c>
      <c r="E800" s="63">
        <f>E799</f>
        <v>8</v>
      </c>
      <c r="F800" s="63">
        <v>1</v>
      </c>
      <c r="G800" s="64">
        <f t="shared" si="99"/>
        <v>800000</v>
      </c>
      <c r="H800" s="55"/>
      <c r="I800" s="58"/>
      <c r="J800" s="58"/>
      <c r="K800" s="58"/>
      <c r="L800" s="58"/>
      <c r="M800" s="58"/>
      <c r="N800" s="58"/>
      <c r="O800" s="58"/>
      <c r="P800" s="58"/>
    </row>
    <row r="801" spans="1:16" s="59" customFormat="1" ht="15" x14ac:dyDescent="0.25">
      <c r="A801" s="66"/>
      <c r="B801" s="70"/>
      <c r="C801" s="63" t="s">
        <v>455</v>
      </c>
      <c r="D801" s="63">
        <v>250000</v>
      </c>
      <c r="E801" s="63">
        <f>1*2</f>
        <v>2</v>
      </c>
      <c r="F801" s="63">
        <v>6</v>
      </c>
      <c r="G801" s="64">
        <f t="shared" si="99"/>
        <v>3000000</v>
      </c>
      <c r="H801" s="55"/>
      <c r="I801" s="58"/>
      <c r="J801" s="58"/>
      <c r="K801" s="58"/>
      <c r="L801" s="58"/>
      <c r="M801" s="58"/>
      <c r="N801" s="58"/>
      <c r="O801" s="58"/>
      <c r="P801" s="58"/>
    </row>
    <row r="802" spans="1:16" s="59" customFormat="1" ht="15" x14ac:dyDescent="0.25">
      <c r="A802" s="66"/>
      <c r="B802" s="70"/>
      <c r="C802" s="63" t="s">
        <v>456</v>
      </c>
      <c r="D802" s="63">
        <f>D800</f>
        <v>100000</v>
      </c>
      <c r="E802" s="63">
        <f>1*2</f>
        <v>2</v>
      </c>
      <c r="F802" s="63">
        <v>1</v>
      </c>
      <c r="G802" s="64">
        <f t="shared" si="99"/>
        <v>200000</v>
      </c>
      <c r="H802" s="55"/>
      <c r="I802" s="58"/>
      <c r="J802" s="58"/>
      <c r="K802" s="58"/>
      <c r="L802" s="58"/>
      <c r="M802" s="58"/>
      <c r="N802" s="58"/>
      <c r="O802" s="58"/>
      <c r="P802" s="58"/>
    </row>
    <row r="803" spans="1:16" s="59" customFormat="1" ht="15" x14ac:dyDescent="0.25">
      <c r="A803" s="66"/>
      <c r="B803" s="70"/>
      <c r="C803" s="63" t="s">
        <v>457</v>
      </c>
      <c r="D803" s="63">
        <v>250000</v>
      </c>
      <c r="E803" s="63">
        <f>4*4</f>
        <v>16</v>
      </c>
      <c r="F803" s="63">
        <v>6</v>
      </c>
      <c r="G803" s="64">
        <f t="shared" si="99"/>
        <v>24000000</v>
      </c>
      <c r="H803" s="55"/>
      <c r="I803" s="58"/>
      <c r="J803" s="58"/>
      <c r="K803" s="58"/>
      <c r="L803" s="58"/>
      <c r="M803" s="58"/>
      <c r="N803" s="58"/>
      <c r="O803" s="58"/>
      <c r="P803" s="58"/>
    </row>
    <row r="804" spans="1:16" s="59" customFormat="1" ht="15" x14ac:dyDescent="0.25">
      <c r="A804" s="66"/>
      <c r="B804" s="70"/>
      <c r="C804" s="63" t="s">
        <v>458</v>
      </c>
      <c r="D804" s="63">
        <f>D802</f>
        <v>100000</v>
      </c>
      <c r="E804" s="63">
        <f>E803</f>
        <v>16</v>
      </c>
      <c r="F804" s="63">
        <v>1</v>
      </c>
      <c r="G804" s="64">
        <f t="shared" si="99"/>
        <v>1600000</v>
      </c>
      <c r="H804" s="55"/>
      <c r="I804" s="58"/>
      <c r="J804" s="58"/>
      <c r="K804" s="58"/>
      <c r="L804" s="58"/>
      <c r="M804" s="58"/>
      <c r="N804" s="58"/>
      <c r="O804" s="58"/>
      <c r="P804" s="58"/>
    </row>
    <row r="805" spans="1:16" s="59" customFormat="1" ht="15" x14ac:dyDescent="0.25">
      <c r="A805" s="66"/>
      <c r="B805" s="70"/>
      <c r="C805" s="63" t="s">
        <v>459</v>
      </c>
      <c r="D805" s="63">
        <v>250000</v>
      </c>
      <c r="E805" s="63">
        <f>1*4</f>
        <v>4</v>
      </c>
      <c r="F805" s="63">
        <v>6</v>
      </c>
      <c r="G805" s="64">
        <f t="shared" si="99"/>
        <v>6000000</v>
      </c>
      <c r="H805" s="55"/>
      <c r="I805" s="58"/>
      <c r="J805" s="58"/>
      <c r="K805" s="58"/>
      <c r="L805" s="58"/>
      <c r="M805" s="58"/>
      <c r="N805" s="58"/>
      <c r="O805" s="58"/>
      <c r="P805" s="58"/>
    </row>
    <row r="806" spans="1:16" s="59" customFormat="1" ht="15" x14ac:dyDescent="0.25">
      <c r="A806" s="66"/>
      <c r="B806" s="70"/>
      <c r="C806" s="63" t="s">
        <v>460</v>
      </c>
      <c r="D806" s="63">
        <f>D804</f>
        <v>100000</v>
      </c>
      <c r="E806" s="63">
        <f>E805</f>
        <v>4</v>
      </c>
      <c r="F806" s="63">
        <v>1</v>
      </c>
      <c r="G806" s="64">
        <f t="shared" si="99"/>
        <v>400000</v>
      </c>
      <c r="H806" s="55"/>
      <c r="I806" s="58"/>
      <c r="J806" s="58"/>
      <c r="K806" s="58"/>
      <c r="L806" s="58"/>
      <c r="M806" s="58"/>
      <c r="N806" s="58"/>
      <c r="O806" s="58"/>
      <c r="P806" s="58"/>
    </row>
    <row r="807" spans="1:16" s="59" customFormat="1" ht="15" x14ac:dyDescent="0.25">
      <c r="A807" s="66"/>
      <c r="B807" s="70"/>
      <c r="C807" s="63" t="s">
        <v>461</v>
      </c>
      <c r="D807" s="63">
        <v>250000</v>
      </c>
      <c r="E807" s="63">
        <f>4</f>
        <v>4</v>
      </c>
      <c r="F807" s="63">
        <v>7</v>
      </c>
      <c r="G807" s="64">
        <f>D807*E807*F807</f>
        <v>7000000</v>
      </c>
      <c r="H807" s="55"/>
      <c r="I807" s="58"/>
      <c r="J807" s="58"/>
      <c r="K807" s="58"/>
      <c r="L807" s="58"/>
      <c r="M807" s="58"/>
      <c r="N807" s="58"/>
      <c r="O807" s="58"/>
      <c r="P807" s="58"/>
    </row>
    <row r="808" spans="1:16" s="59" customFormat="1" ht="15" x14ac:dyDescent="0.25">
      <c r="A808" s="66"/>
      <c r="B808" s="70"/>
      <c r="C808" s="63" t="s">
        <v>462</v>
      </c>
      <c r="D808" s="63">
        <f>D806</f>
        <v>100000</v>
      </c>
      <c r="E808" s="63">
        <f>E807</f>
        <v>4</v>
      </c>
      <c r="F808" s="63">
        <v>1</v>
      </c>
      <c r="G808" s="64">
        <f>D808*E808*F808</f>
        <v>400000</v>
      </c>
      <c r="H808" s="55"/>
      <c r="I808" s="58"/>
      <c r="J808" s="58"/>
      <c r="K808" s="58"/>
      <c r="L808" s="58"/>
      <c r="M808" s="58"/>
      <c r="N808" s="58"/>
      <c r="O808" s="58"/>
      <c r="P808" s="58"/>
    </row>
    <row r="809" spans="1:16" s="59" customFormat="1" ht="15" x14ac:dyDescent="0.25">
      <c r="A809" s="66"/>
      <c r="B809" s="70"/>
      <c r="C809" s="63" t="s">
        <v>463</v>
      </c>
      <c r="D809" s="63">
        <v>250000</v>
      </c>
      <c r="E809" s="63">
        <f>1</f>
        <v>1</v>
      </c>
      <c r="F809" s="63">
        <v>7</v>
      </c>
      <c r="G809" s="64">
        <f>D809*E809*F809</f>
        <v>1750000</v>
      </c>
      <c r="H809" s="55"/>
      <c r="I809" s="58"/>
      <c r="J809" s="58"/>
      <c r="K809" s="58"/>
      <c r="L809" s="58"/>
      <c r="M809" s="58"/>
      <c r="N809" s="58"/>
      <c r="O809" s="58"/>
      <c r="P809" s="58"/>
    </row>
    <row r="810" spans="1:16" s="59" customFormat="1" ht="15" x14ac:dyDescent="0.25">
      <c r="A810" s="66"/>
      <c r="B810" s="70"/>
      <c r="C810" s="63" t="s">
        <v>464</v>
      </c>
      <c r="D810" s="63">
        <f>D808</f>
        <v>100000</v>
      </c>
      <c r="E810" s="63">
        <f>E809</f>
        <v>1</v>
      </c>
      <c r="F810" s="63">
        <v>1</v>
      </c>
      <c r="G810" s="64">
        <f>D810*E810*F810</f>
        <v>100000</v>
      </c>
      <c r="H810" s="55"/>
      <c r="I810" s="58"/>
      <c r="J810" s="58"/>
      <c r="K810" s="58"/>
      <c r="L810" s="58"/>
      <c r="M810" s="58"/>
      <c r="N810" s="58"/>
      <c r="O810" s="58"/>
      <c r="P810" s="58"/>
    </row>
    <row r="811" spans="1:16" s="59" customFormat="1" ht="15" x14ac:dyDescent="0.25">
      <c r="A811" s="66"/>
      <c r="B811" s="70"/>
      <c r="C811" s="63" t="s">
        <v>465</v>
      </c>
      <c r="D811" s="63"/>
      <c r="E811" s="63">
        <v>5</v>
      </c>
      <c r="F811" s="63"/>
      <c r="G811" s="64">
        <f t="shared" si="99"/>
        <v>0</v>
      </c>
      <c r="H811" s="55"/>
      <c r="I811" s="58"/>
      <c r="J811" s="58"/>
      <c r="K811" s="58"/>
      <c r="L811" s="58"/>
      <c r="M811" s="58"/>
      <c r="N811" s="58"/>
      <c r="O811" s="58"/>
      <c r="P811" s="58"/>
    </row>
    <row r="812" spans="1:16" s="59" customFormat="1" ht="15" x14ac:dyDescent="0.25">
      <c r="A812" s="66"/>
      <c r="B812" s="70"/>
      <c r="C812" s="63" t="s">
        <v>466</v>
      </c>
      <c r="D812" s="63">
        <v>7500</v>
      </c>
      <c r="E812" s="63">
        <v>43</v>
      </c>
      <c r="F812" s="63">
        <v>2</v>
      </c>
      <c r="G812" s="64">
        <f t="shared" si="99"/>
        <v>645000</v>
      </c>
      <c r="H812" s="55"/>
      <c r="I812" s="58"/>
      <c r="J812" s="58"/>
      <c r="K812" s="58"/>
      <c r="L812" s="58"/>
      <c r="M812" s="58"/>
      <c r="N812" s="58"/>
      <c r="O812" s="58"/>
      <c r="P812" s="58"/>
    </row>
    <row r="813" spans="1:16" s="59" customFormat="1" ht="15" x14ac:dyDescent="0.25">
      <c r="A813" s="66"/>
      <c r="B813" s="70"/>
      <c r="C813" s="63" t="s">
        <v>467</v>
      </c>
      <c r="D813" s="63">
        <v>7500</v>
      </c>
      <c r="E813" s="63">
        <f>248/8</f>
        <v>31</v>
      </c>
      <c r="F813" s="63">
        <v>2</v>
      </c>
      <c r="G813" s="64">
        <f t="shared" si="99"/>
        <v>465000</v>
      </c>
      <c r="H813" s="55"/>
      <c r="I813" s="58"/>
      <c r="J813" s="58"/>
      <c r="K813" s="58"/>
      <c r="L813" s="58"/>
      <c r="M813" s="58"/>
      <c r="N813" s="58"/>
      <c r="O813" s="58"/>
      <c r="P813" s="58"/>
    </row>
    <row r="814" spans="1:16" s="59" customFormat="1" ht="15" x14ac:dyDescent="0.25">
      <c r="A814" s="66"/>
      <c r="B814" s="70"/>
      <c r="C814" s="63" t="s">
        <v>468</v>
      </c>
      <c r="D814" s="63">
        <v>7500</v>
      </c>
      <c r="E814" s="63">
        <f>144/8</f>
        <v>18</v>
      </c>
      <c r="F814" s="63">
        <v>2</v>
      </c>
      <c r="G814" s="64">
        <f t="shared" si="99"/>
        <v>270000</v>
      </c>
      <c r="H814" s="55"/>
      <c r="I814" s="58"/>
      <c r="J814" s="58"/>
      <c r="K814" s="58"/>
      <c r="L814" s="58"/>
      <c r="M814" s="58"/>
      <c r="N814" s="58"/>
      <c r="O814" s="58"/>
      <c r="P814" s="58"/>
    </row>
    <row r="815" spans="1:16" s="59" customFormat="1" ht="15" x14ac:dyDescent="0.25">
      <c r="A815" s="66"/>
      <c r="B815" s="70"/>
      <c r="C815" s="63" t="s">
        <v>469</v>
      </c>
      <c r="D815" s="63">
        <v>7500</v>
      </c>
      <c r="E815" s="63">
        <v>18</v>
      </c>
      <c r="F815" s="63">
        <v>2</v>
      </c>
      <c r="G815" s="64">
        <f t="shared" si="99"/>
        <v>270000</v>
      </c>
      <c r="H815" s="55"/>
      <c r="I815" s="58"/>
      <c r="J815" s="58"/>
      <c r="K815" s="58"/>
      <c r="L815" s="58"/>
      <c r="M815" s="58"/>
      <c r="N815" s="58"/>
      <c r="O815" s="58"/>
      <c r="P815" s="58"/>
    </row>
    <row r="816" spans="1:16" s="59" customFormat="1" ht="15" x14ac:dyDescent="0.25">
      <c r="A816" s="66"/>
      <c r="B816" s="70"/>
      <c r="C816" s="63" t="s">
        <v>470</v>
      </c>
      <c r="D816" s="63">
        <v>7500</v>
      </c>
      <c r="E816" s="63">
        <v>21</v>
      </c>
      <c r="F816" s="63">
        <v>2</v>
      </c>
      <c r="G816" s="64">
        <f t="shared" si="99"/>
        <v>315000</v>
      </c>
      <c r="H816" s="55"/>
      <c r="I816" s="58"/>
      <c r="J816" s="58"/>
      <c r="K816" s="58"/>
      <c r="L816" s="58"/>
      <c r="M816" s="58"/>
      <c r="N816" s="58"/>
      <c r="O816" s="58"/>
      <c r="P816" s="58"/>
    </row>
    <row r="817" spans="1:16" s="59" customFormat="1" ht="15" x14ac:dyDescent="0.25">
      <c r="A817" s="66"/>
      <c r="B817" s="70"/>
      <c r="C817" s="63" t="s">
        <v>471</v>
      </c>
      <c r="D817" s="63">
        <v>7500</v>
      </c>
      <c r="E817" s="63">
        <v>66</v>
      </c>
      <c r="F817" s="63">
        <v>2</v>
      </c>
      <c r="G817" s="64">
        <f t="shared" si="99"/>
        <v>990000</v>
      </c>
      <c r="H817" s="55"/>
      <c r="I817" s="58"/>
      <c r="J817" s="58"/>
      <c r="K817" s="58"/>
      <c r="L817" s="58"/>
      <c r="M817" s="58"/>
      <c r="N817" s="58"/>
      <c r="O817" s="58"/>
      <c r="P817" s="58"/>
    </row>
    <row r="818" spans="1:16" s="59" customFormat="1" ht="15" x14ac:dyDescent="0.25">
      <c r="A818" s="66"/>
      <c r="B818" s="70"/>
      <c r="C818" s="63" t="s">
        <v>472</v>
      </c>
      <c r="D818" s="63">
        <v>7500</v>
      </c>
      <c r="E818" s="63">
        <v>104</v>
      </c>
      <c r="F818" s="63">
        <v>2</v>
      </c>
      <c r="G818" s="64">
        <f t="shared" si="99"/>
        <v>1560000</v>
      </c>
      <c r="H818" s="55"/>
      <c r="I818" s="58"/>
      <c r="J818" s="58"/>
      <c r="K818" s="58"/>
      <c r="L818" s="58"/>
      <c r="M818" s="58"/>
      <c r="N818" s="58"/>
      <c r="O818" s="58"/>
      <c r="P818" s="58"/>
    </row>
    <row r="819" spans="1:16" s="59" customFormat="1" ht="22.5" x14ac:dyDescent="0.25">
      <c r="A819" s="66"/>
      <c r="B819" s="70"/>
      <c r="C819" s="209" t="s">
        <v>473</v>
      </c>
      <c r="D819" s="63">
        <v>35000</v>
      </c>
      <c r="E819" s="63">
        <f>E811</f>
        <v>5</v>
      </c>
      <c r="F819" s="63">
        <v>5</v>
      </c>
      <c r="G819" s="64">
        <f t="shared" si="99"/>
        <v>875000</v>
      </c>
      <c r="H819" s="55"/>
      <c r="I819" s="58"/>
      <c r="J819" s="58"/>
      <c r="K819" s="58"/>
      <c r="L819" s="58"/>
      <c r="M819" s="58"/>
      <c r="N819" s="58"/>
      <c r="O819" s="58"/>
      <c r="P819" s="58"/>
    </row>
    <row r="820" spans="1:16" s="59" customFormat="1" ht="15" x14ac:dyDescent="0.25">
      <c r="A820" s="66"/>
      <c r="B820" s="70"/>
      <c r="C820" s="63" t="s">
        <v>474</v>
      </c>
      <c r="D820" s="63">
        <f>7500*95</f>
        <v>712500</v>
      </c>
      <c r="E820" s="63">
        <v>3</v>
      </c>
      <c r="F820" s="63">
        <v>2</v>
      </c>
      <c r="G820" s="64">
        <f t="shared" si="99"/>
        <v>4275000</v>
      </c>
      <c r="H820" s="55"/>
      <c r="I820" s="58"/>
      <c r="J820" s="58"/>
      <c r="K820" s="58"/>
      <c r="L820" s="58"/>
      <c r="M820" s="58"/>
      <c r="N820" s="58"/>
      <c r="O820" s="58"/>
      <c r="P820" s="58"/>
    </row>
    <row r="821" spans="1:16" s="59" customFormat="1" ht="15" x14ac:dyDescent="0.25">
      <c r="A821" s="66"/>
      <c r="B821" s="70"/>
      <c r="C821" s="208" t="s">
        <v>231</v>
      </c>
      <c r="D821" s="63">
        <v>1000000</v>
      </c>
      <c r="E821" s="63">
        <v>1</v>
      </c>
      <c r="F821" s="63">
        <v>5</v>
      </c>
      <c r="G821" s="64">
        <f>D821*E821*F821</f>
        <v>5000000</v>
      </c>
      <c r="H821" s="55"/>
      <c r="I821" s="58"/>
      <c r="J821" s="58"/>
      <c r="K821" s="58"/>
      <c r="L821" s="58"/>
      <c r="M821" s="58"/>
      <c r="N821" s="58"/>
      <c r="O821" s="58"/>
      <c r="P821" s="58"/>
    </row>
    <row r="822" spans="1:16" s="59" customFormat="1" ht="15" x14ac:dyDescent="0.25">
      <c r="A822" s="66"/>
      <c r="B822" s="70"/>
      <c r="C822" s="208" t="s">
        <v>97</v>
      </c>
      <c r="D822" s="63">
        <v>40000</v>
      </c>
      <c r="E822" s="63">
        <v>43</v>
      </c>
      <c r="F822" s="63">
        <v>5</v>
      </c>
      <c r="G822" s="64">
        <f>D822*E822*F822</f>
        <v>8600000</v>
      </c>
      <c r="H822" s="55"/>
      <c r="I822" s="58"/>
      <c r="J822" s="58"/>
      <c r="K822" s="58"/>
      <c r="L822" s="58"/>
      <c r="M822" s="58"/>
      <c r="N822" s="58"/>
      <c r="O822" s="58"/>
      <c r="P822" s="58"/>
    </row>
    <row r="823" spans="1:16" s="59" customFormat="1" ht="15" x14ac:dyDescent="0.25">
      <c r="A823" s="66"/>
      <c r="B823" s="70"/>
      <c r="C823" s="63" t="s">
        <v>60</v>
      </c>
      <c r="D823" s="63">
        <f>G823/E823/F823</f>
        <v>10786.046511627907</v>
      </c>
      <c r="E823" s="63">
        <f>E822</f>
        <v>43</v>
      </c>
      <c r="F823" s="63">
        <v>5</v>
      </c>
      <c r="G823" s="64">
        <v>2319000</v>
      </c>
      <c r="H823" s="55"/>
      <c r="I823" s="58"/>
      <c r="J823" s="58"/>
      <c r="K823" s="58"/>
      <c r="L823" s="58"/>
      <c r="M823" s="58"/>
      <c r="N823" s="58"/>
      <c r="O823" s="58"/>
      <c r="P823" s="58"/>
    </row>
    <row r="824" spans="1:16" s="59" customFormat="1" ht="15" x14ac:dyDescent="0.25">
      <c r="A824" s="66"/>
      <c r="B824" s="70"/>
      <c r="C824" s="63" t="s">
        <v>147</v>
      </c>
      <c r="D824" s="63">
        <f>G824/E824/F824</f>
        <v>97142.857142857145</v>
      </c>
      <c r="E824" s="63">
        <v>7</v>
      </c>
      <c r="F824" s="63">
        <v>5</v>
      </c>
      <c r="G824" s="64">
        <v>3400000</v>
      </c>
      <c r="H824" s="55"/>
      <c r="I824" s="58"/>
      <c r="J824" s="58"/>
      <c r="K824" s="58"/>
      <c r="L824" s="58"/>
      <c r="M824" s="58"/>
      <c r="N824" s="58"/>
      <c r="O824" s="58"/>
      <c r="P824" s="58"/>
    </row>
    <row r="825" spans="1:16" s="59" customFormat="1" ht="15.75" thickBot="1" x14ac:dyDescent="0.3">
      <c r="A825" s="66"/>
      <c r="B825" s="71"/>
      <c r="C825" s="63"/>
      <c r="D825" s="63"/>
      <c r="E825" s="63"/>
      <c r="F825" s="63"/>
      <c r="G825" s="64"/>
      <c r="H825" s="55"/>
      <c r="I825" s="58"/>
      <c r="J825" s="58"/>
      <c r="K825" s="58"/>
      <c r="L825" s="58"/>
      <c r="M825" s="58"/>
      <c r="N825" s="58"/>
      <c r="O825" s="58"/>
      <c r="P825" s="58"/>
    </row>
    <row r="826" spans="1:16" s="59" customFormat="1" ht="15.75" thickBot="1" x14ac:dyDescent="0.3">
      <c r="A826" s="66"/>
      <c r="B826" s="71"/>
      <c r="C826" s="72" t="s">
        <v>140</v>
      </c>
      <c r="D826" s="72"/>
      <c r="E826" s="72"/>
      <c r="F826" s="72"/>
      <c r="G826" s="73">
        <f>SUM(G790:G825)</f>
        <v>105704000</v>
      </c>
      <c r="H826" s="74">
        <f>G826/$G$1</f>
        <v>12992.133726647002</v>
      </c>
      <c r="I826" s="58"/>
      <c r="J826" s="58"/>
      <c r="K826" s="58"/>
      <c r="L826" s="58"/>
      <c r="M826" s="58"/>
      <c r="N826" s="58"/>
      <c r="O826" s="58"/>
      <c r="P826" s="58"/>
    </row>
    <row r="827" spans="1:16" s="59" customFormat="1" ht="15" x14ac:dyDescent="0.25">
      <c r="A827" s="66"/>
      <c r="B827" s="71"/>
      <c r="C827" s="63"/>
      <c r="D827" s="63"/>
      <c r="E827" s="63"/>
      <c r="F827" s="63"/>
      <c r="G827" s="64"/>
      <c r="H827" s="55"/>
      <c r="I827" s="58"/>
      <c r="J827" s="58"/>
      <c r="K827" s="58"/>
      <c r="L827" s="58"/>
      <c r="M827" s="58"/>
      <c r="N827" s="58"/>
      <c r="O827" s="58"/>
      <c r="P827" s="58"/>
    </row>
    <row r="828" spans="1:16" s="59" customFormat="1" ht="15.75" thickBot="1" x14ac:dyDescent="0.3">
      <c r="A828" s="213"/>
      <c r="B828" s="214"/>
      <c r="C828" s="214"/>
      <c r="D828" s="215"/>
      <c r="E828" s="215"/>
      <c r="F828" s="216"/>
      <c r="G828" s="217"/>
      <c r="H828" s="55"/>
      <c r="I828" s="58"/>
      <c r="J828" s="58"/>
      <c r="K828" s="58"/>
      <c r="L828" s="58"/>
      <c r="M828" s="58"/>
      <c r="N828" s="58"/>
      <c r="O828" s="58"/>
      <c r="P828" s="58"/>
    </row>
    <row r="829" spans="1:16" s="57" customFormat="1" ht="12.75" thickBot="1" x14ac:dyDescent="0.3">
      <c r="A829" s="218"/>
      <c r="G829" s="219"/>
      <c r="H829" s="55"/>
    </row>
    <row r="830" spans="1:16" s="59" customFormat="1" ht="15" x14ac:dyDescent="0.25">
      <c r="A830" s="207">
        <v>2.2000000000000002</v>
      </c>
      <c r="B830" s="757" t="s">
        <v>475</v>
      </c>
      <c r="C830" s="53" t="s">
        <v>39</v>
      </c>
      <c r="D830" s="53">
        <v>150000</v>
      </c>
      <c r="E830" s="53">
        <v>1</v>
      </c>
      <c r="F830" s="53">
        <v>1</v>
      </c>
      <c r="G830" s="54">
        <f t="shared" ref="G830:G856" si="100">D830*E830*F830</f>
        <v>150000</v>
      </c>
      <c r="H830" s="55"/>
      <c r="I830" s="58"/>
      <c r="J830" s="58"/>
      <c r="K830" s="58"/>
      <c r="L830" s="58"/>
      <c r="M830" s="58"/>
      <c r="N830" s="58"/>
      <c r="O830" s="58"/>
      <c r="P830" s="58"/>
    </row>
    <row r="831" spans="1:16" s="59" customFormat="1" ht="15" x14ac:dyDescent="0.25">
      <c r="A831" s="66"/>
      <c r="B831" s="758"/>
      <c r="C831" s="63" t="s">
        <v>445</v>
      </c>
      <c r="D831" s="63">
        <v>270000</v>
      </c>
      <c r="E831" s="63">
        <v>1</v>
      </c>
      <c r="F831" s="63">
        <v>6</v>
      </c>
      <c r="G831" s="64">
        <f t="shared" si="100"/>
        <v>1620000</v>
      </c>
      <c r="H831" s="55"/>
      <c r="I831" s="58"/>
      <c r="J831" s="58"/>
      <c r="K831" s="58"/>
      <c r="L831" s="58"/>
      <c r="M831" s="58"/>
      <c r="N831" s="58"/>
      <c r="O831" s="58"/>
      <c r="P831" s="58"/>
    </row>
    <row r="832" spans="1:16" s="59" customFormat="1" ht="15" x14ac:dyDescent="0.25">
      <c r="A832" s="66"/>
      <c r="B832" s="758"/>
      <c r="C832" s="63" t="s">
        <v>446</v>
      </c>
      <c r="D832" s="63">
        <v>100000</v>
      </c>
      <c r="E832" s="63">
        <v>1</v>
      </c>
      <c r="F832" s="63">
        <v>1</v>
      </c>
      <c r="G832" s="64">
        <f t="shared" si="100"/>
        <v>100000</v>
      </c>
      <c r="H832" s="55"/>
      <c r="I832" s="58"/>
      <c r="J832" s="58"/>
      <c r="K832" s="58"/>
      <c r="L832" s="58"/>
      <c r="M832" s="58"/>
      <c r="N832" s="58"/>
      <c r="O832" s="58"/>
      <c r="P832" s="58"/>
    </row>
    <row r="833" spans="1:16" s="59" customFormat="1" ht="22.5" x14ac:dyDescent="0.25">
      <c r="A833" s="66"/>
      <c r="B833" s="758"/>
      <c r="C833" s="208" t="s">
        <v>447</v>
      </c>
      <c r="D833" s="63">
        <v>250000</v>
      </c>
      <c r="E833" s="63">
        <v>5</v>
      </c>
      <c r="F833" s="63">
        <v>6</v>
      </c>
      <c r="G833" s="64">
        <f t="shared" si="100"/>
        <v>7500000</v>
      </c>
      <c r="H833" s="55"/>
      <c r="I833" s="58"/>
      <c r="J833" s="58"/>
      <c r="K833" s="58"/>
      <c r="L833" s="58"/>
      <c r="M833" s="58"/>
      <c r="N833" s="58"/>
      <c r="O833" s="58"/>
      <c r="P833" s="58"/>
    </row>
    <row r="834" spans="1:16" s="59" customFormat="1" ht="22.5" x14ac:dyDescent="0.25">
      <c r="A834" s="66"/>
      <c r="B834" s="71"/>
      <c r="C834" s="208" t="s">
        <v>448</v>
      </c>
      <c r="D834" s="63">
        <f>D832</f>
        <v>100000</v>
      </c>
      <c r="E834" s="63">
        <f>E833</f>
        <v>5</v>
      </c>
      <c r="F834" s="63">
        <v>1</v>
      </c>
      <c r="G834" s="64">
        <f t="shared" si="100"/>
        <v>500000</v>
      </c>
      <c r="H834" s="55"/>
      <c r="I834" s="58"/>
      <c r="J834" s="58"/>
      <c r="K834" s="58"/>
      <c r="L834" s="58"/>
      <c r="M834" s="58"/>
      <c r="N834" s="58"/>
      <c r="O834" s="58"/>
      <c r="P834" s="58"/>
    </row>
    <row r="835" spans="1:16" s="59" customFormat="1" ht="15" x14ac:dyDescent="0.25">
      <c r="A835" s="66"/>
      <c r="B835" s="71"/>
      <c r="C835" s="63" t="s">
        <v>449</v>
      </c>
      <c r="D835" s="63">
        <f>D833</f>
        <v>250000</v>
      </c>
      <c r="E835" s="63">
        <v>3</v>
      </c>
      <c r="F835" s="63">
        <v>6</v>
      </c>
      <c r="G835" s="64">
        <f t="shared" si="100"/>
        <v>4500000</v>
      </c>
      <c r="H835" s="55"/>
      <c r="I835" s="58"/>
      <c r="J835" s="58"/>
      <c r="K835" s="58"/>
      <c r="L835" s="58"/>
      <c r="M835" s="58"/>
      <c r="N835" s="58"/>
      <c r="O835" s="58"/>
      <c r="P835" s="58"/>
    </row>
    <row r="836" spans="1:16" s="59" customFormat="1" ht="15" x14ac:dyDescent="0.25">
      <c r="A836" s="66"/>
      <c r="B836" s="71"/>
      <c r="C836" s="63" t="s">
        <v>450</v>
      </c>
      <c r="D836" s="63">
        <f>D834</f>
        <v>100000</v>
      </c>
      <c r="E836" s="63">
        <f>E835</f>
        <v>3</v>
      </c>
      <c r="F836" s="63">
        <v>1</v>
      </c>
      <c r="G836" s="64">
        <f t="shared" si="100"/>
        <v>300000</v>
      </c>
      <c r="H836" s="55"/>
      <c r="I836" s="58"/>
      <c r="J836" s="58"/>
      <c r="K836" s="58"/>
      <c r="L836" s="58"/>
      <c r="M836" s="58"/>
      <c r="N836" s="58"/>
      <c r="O836" s="58"/>
      <c r="P836" s="58"/>
    </row>
    <row r="837" spans="1:16" s="59" customFormat="1" ht="15" x14ac:dyDescent="0.25">
      <c r="A837" s="66"/>
      <c r="B837" s="71"/>
      <c r="C837" s="63" t="s">
        <v>451</v>
      </c>
      <c r="D837" s="63">
        <v>250000</v>
      </c>
      <c r="E837" s="63">
        <v>3</v>
      </c>
      <c r="F837" s="63">
        <v>6</v>
      </c>
      <c r="G837" s="64">
        <f t="shared" si="100"/>
        <v>4500000</v>
      </c>
      <c r="H837" s="55"/>
      <c r="I837" s="58"/>
      <c r="J837" s="58"/>
      <c r="K837" s="58"/>
      <c r="L837" s="58"/>
      <c r="M837" s="58"/>
      <c r="N837" s="58"/>
      <c r="O837" s="58"/>
      <c r="P837" s="58"/>
    </row>
    <row r="838" spans="1:16" s="59" customFormat="1" ht="15" x14ac:dyDescent="0.25">
      <c r="A838" s="66"/>
      <c r="B838" s="71"/>
      <c r="C838" s="63" t="s">
        <v>452</v>
      </c>
      <c r="D838" s="63">
        <f>D836</f>
        <v>100000</v>
      </c>
      <c r="E838" s="63">
        <v>3</v>
      </c>
      <c r="F838" s="63">
        <v>1</v>
      </c>
      <c r="G838" s="64">
        <f t="shared" si="100"/>
        <v>300000</v>
      </c>
      <c r="H838" s="55"/>
      <c r="I838" s="58"/>
      <c r="J838" s="58"/>
      <c r="K838" s="58"/>
      <c r="L838" s="58"/>
      <c r="M838" s="58"/>
      <c r="N838" s="58"/>
      <c r="O838" s="58"/>
      <c r="P838" s="58"/>
    </row>
    <row r="839" spans="1:16" s="59" customFormat="1" ht="15" x14ac:dyDescent="0.25">
      <c r="A839" s="66"/>
      <c r="B839" s="70"/>
      <c r="C839" s="63" t="s">
        <v>476</v>
      </c>
      <c r="D839" s="63">
        <v>250000</v>
      </c>
      <c r="E839" s="63">
        <f>4*3</f>
        <v>12</v>
      </c>
      <c r="F839" s="63">
        <v>6</v>
      </c>
      <c r="G839" s="64">
        <f t="shared" si="100"/>
        <v>18000000</v>
      </c>
      <c r="H839" s="55"/>
      <c r="I839" s="58"/>
      <c r="J839" s="58"/>
      <c r="K839" s="58"/>
      <c r="L839" s="58"/>
      <c r="M839" s="58"/>
      <c r="N839" s="58"/>
      <c r="O839" s="58"/>
      <c r="P839" s="58"/>
    </row>
    <row r="840" spans="1:16" s="59" customFormat="1" ht="15" x14ac:dyDescent="0.25">
      <c r="A840" s="66"/>
      <c r="B840" s="70"/>
      <c r="C840" s="63" t="s">
        <v>477</v>
      </c>
      <c r="D840" s="63">
        <f>D838</f>
        <v>100000</v>
      </c>
      <c r="E840" s="63">
        <f>E839</f>
        <v>12</v>
      </c>
      <c r="F840" s="63">
        <v>1</v>
      </c>
      <c r="G840" s="64">
        <f t="shared" si="100"/>
        <v>1200000</v>
      </c>
      <c r="H840" s="55"/>
      <c r="I840" s="58"/>
      <c r="J840" s="58"/>
      <c r="K840" s="58"/>
      <c r="L840" s="58"/>
      <c r="M840" s="58"/>
      <c r="N840" s="58"/>
      <c r="O840" s="58"/>
      <c r="P840" s="58"/>
    </row>
    <row r="841" spans="1:16" s="59" customFormat="1" ht="15" x14ac:dyDescent="0.25">
      <c r="A841" s="66"/>
      <c r="B841" s="70"/>
      <c r="C841" s="63" t="s">
        <v>478</v>
      </c>
      <c r="D841" s="63">
        <v>250000</v>
      </c>
      <c r="E841" s="63">
        <f>1*3</f>
        <v>3</v>
      </c>
      <c r="F841" s="63">
        <v>6</v>
      </c>
      <c r="G841" s="64">
        <f t="shared" si="100"/>
        <v>4500000</v>
      </c>
      <c r="H841" s="55"/>
      <c r="I841" s="58"/>
      <c r="J841" s="58"/>
      <c r="K841" s="58"/>
      <c r="L841" s="58"/>
      <c r="M841" s="58"/>
      <c r="N841" s="58"/>
      <c r="O841" s="58"/>
      <c r="P841" s="58"/>
    </row>
    <row r="842" spans="1:16" s="59" customFormat="1" ht="15" x14ac:dyDescent="0.25">
      <c r="A842" s="66"/>
      <c r="B842" s="70"/>
      <c r="C842" s="63" t="s">
        <v>479</v>
      </c>
      <c r="D842" s="63">
        <f>D840</f>
        <v>100000</v>
      </c>
      <c r="E842" s="63">
        <f>1*3</f>
        <v>3</v>
      </c>
      <c r="F842" s="63">
        <v>1</v>
      </c>
      <c r="G842" s="64">
        <f t="shared" si="100"/>
        <v>300000</v>
      </c>
      <c r="H842" s="55"/>
      <c r="I842" s="58"/>
      <c r="J842" s="58"/>
      <c r="K842" s="58"/>
      <c r="L842" s="58"/>
      <c r="M842" s="58"/>
      <c r="N842" s="58"/>
      <c r="O842" s="58"/>
      <c r="P842" s="58"/>
    </row>
    <row r="843" spans="1:16" s="59" customFormat="1" ht="15" x14ac:dyDescent="0.25">
      <c r="A843" s="66"/>
      <c r="B843" s="70"/>
      <c r="C843" s="63" t="s">
        <v>480</v>
      </c>
      <c r="D843" s="63">
        <v>250000</v>
      </c>
      <c r="E843" s="63">
        <f>4*4</f>
        <v>16</v>
      </c>
      <c r="F843" s="63">
        <v>6</v>
      </c>
      <c r="G843" s="64">
        <f t="shared" si="100"/>
        <v>24000000</v>
      </c>
      <c r="H843" s="55"/>
      <c r="I843" s="58"/>
      <c r="J843" s="58"/>
      <c r="K843" s="58"/>
      <c r="L843" s="58"/>
      <c r="M843" s="58"/>
      <c r="N843" s="58"/>
      <c r="O843" s="58"/>
      <c r="P843" s="58"/>
    </row>
    <row r="844" spans="1:16" s="59" customFormat="1" ht="15" x14ac:dyDescent="0.25">
      <c r="A844" s="66"/>
      <c r="B844" s="70"/>
      <c r="C844" s="63" t="s">
        <v>481</v>
      </c>
      <c r="D844" s="63">
        <f>D842</f>
        <v>100000</v>
      </c>
      <c r="E844" s="63">
        <f>4*4</f>
        <v>16</v>
      </c>
      <c r="F844" s="63">
        <v>1</v>
      </c>
      <c r="G844" s="64">
        <f t="shared" si="100"/>
        <v>1600000</v>
      </c>
      <c r="H844" s="55"/>
      <c r="I844" s="58"/>
      <c r="J844" s="58"/>
      <c r="K844" s="58"/>
      <c r="L844" s="58"/>
      <c r="M844" s="58"/>
      <c r="N844" s="58"/>
      <c r="O844" s="58"/>
      <c r="P844" s="58"/>
    </row>
    <row r="845" spans="1:16" s="59" customFormat="1" ht="15" x14ac:dyDescent="0.25">
      <c r="A845" s="66"/>
      <c r="B845" s="70"/>
      <c r="C845" s="63" t="s">
        <v>482</v>
      </c>
      <c r="D845" s="63">
        <v>250000</v>
      </c>
      <c r="E845" s="63">
        <f>1*4</f>
        <v>4</v>
      </c>
      <c r="F845" s="63">
        <v>6</v>
      </c>
      <c r="G845" s="64">
        <f t="shared" si="100"/>
        <v>6000000</v>
      </c>
      <c r="H845" s="55"/>
      <c r="I845" s="58"/>
      <c r="J845" s="58"/>
      <c r="K845" s="58"/>
      <c r="L845" s="58"/>
      <c r="M845" s="58"/>
      <c r="N845" s="58"/>
      <c r="O845" s="58"/>
      <c r="P845" s="58"/>
    </row>
    <row r="846" spans="1:16" s="59" customFormat="1" ht="15" x14ac:dyDescent="0.25">
      <c r="A846" s="66"/>
      <c r="B846" s="70"/>
      <c r="C846" s="63" t="s">
        <v>483</v>
      </c>
      <c r="D846" s="63">
        <f>D844</f>
        <v>100000</v>
      </c>
      <c r="E846" s="63">
        <f>1*4</f>
        <v>4</v>
      </c>
      <c r="F846" s="63">
        <v>1</v>
      </c>
      <c r="G846" s="64">
        <f t="shared" si="100"/>
        <v>400000</v>
      </c>
      <c r="H846" s="55"/>
      <c r="I846" s="58"/>
      <c r="J846" s="58"/>
      <c r="K846" s="58"/>
      <c r="L846" s="58"/>
      <c r="M846" s="58"/>
      <c r="N846" s="58"/>
      <c r="O846" s="58"/>
      <c r="P846" s="58"/>
    </row>
    <row r="847" spans="1:16" s="59" customFormat="1" ht="15" x14ac:dyDescent="0.25">
      <c r="A847" s="66"/>
      <c r="B847" s="70"/>
      <c r="C847" s="63" t="s">
        <v>484</v>
      </c>
      <c r="D847" s="63"/>
      <c r="E847" s="63">
        <v>5</v>
      </c>
      <c r="F847" s="63"/>
      <c r="G847" s="64">
        <f t="shared" si="100"/>
        <v>0</v>
      </c>
      <c r="H847" s="55"/>
      <c r="I847" s="58"/>
      <c r="J847" s="58"/>
      <c r="K847" s="58"/>
      <c r="L847" s="58"/>
      <c r="M847" s="58"/>
      <c r="N847" s="58"/>
      <c r="O847" s="58"/>
      <c r="P847" s="58"/>
    </row>
    <row r="848" spans="1:16" s="59" customFormat="1" ht="15" x14ac:dyDescent="0.25">
      <c r="A848" s="66"/>
      <c r="B848" s="70"/>
      <c r="C848" s="63" t="s">
        <v>485</v>
      </c>
      <c r="D848" s="63">
        <v>7500</v>
      </c>
      <c r="E848" s="63">
        <f>504/6</f>
        <v>84</v>
      </c>
      <c r="F848" s="63">
        <v>2</v>
      </c>
      <c r="G848" s="64">
        <f t="shared" si="100"/>
        <v>1260000</v>
      </c>
      <c r="H848" s="55"/>
      <c r="I848" s="58"/>
      <c r="J848" s="58"/>
      <c r="K848" s="58"/>
      <c r="L848" s="58"/>
      <c r="M848" s="58"/>
      <c r="N848" s="58"/>
      <c r="O848" s="58"/>
      <c r="P848" s="58"/>
    </row>
    <row r="849" spans="1:16" s="59" customFormat="1" ht="15" x14ac:dyDescent="0.25">
      <c r="A849" s="66"/>
      <c r="B849" s="70"/>
      <c r="C849" s="63" t="s">
        <v>486</v>
      </c>
      <c r="D849" s="63">
        <v>7500</v>
      </c>
      <c r="E849" s="63">
        <v>52</v>
      </c>
      <c r="F849" s="63">
        <v>2</v>
      </c>
      <c r="G849" s="64">
        <f t="shared" si="100"/>
        <v>780000</v>
      </c>
      <c r="H849" s="55"/>
      <c r="I849" s="58"/>
      <c r="J849" s="58"/>
      <c r="K849" s="58"/>
      <c r="L849" s="58"/>
      <c r="M849" s="58"/>
      <c r="N849" s="58"/>
      <c r="O849" s="58"/>
      <c r="P849" s="58"/>
    </row>
    <row r="850" spans="1:16" s="59" customFormat="1" ht="15" x14ac:dyDescent="0.25">
      <c r="A850" s="66"/>
      <c r="B850" s="70"/>
      <c r="C850" s="63" t="s">
        <v>487</v>
      </c>
      <c r="D850" s="63">
        <v>7500</v>
      </c>
      <c r="E850" s="63">
        <v>86</v>
      </c>
      <c r="F850" s="63">
        <v>2</v>
      </c>
      <c r="G850" s="64">
        <f t="shared" si="100"/>
        <v>1290000</v>
      </c>
      <c r="H850" s="55"/>
      <c r="I850" s="58"/>
      <c r="J850" s="58"/>
      <c r="K850" s="58"/>
      <c r="L850" s="58"/>
      <c r="M850" s="58"/>
      <c r="N850" s="58"/>
      <c r="O850" s="58"/>
      <c r="P850" s="58"/>
    </row>
    <row r="851" spans="1:16" s="59" customFormat="1" ht="15" x14ac:dyDescent="0.25">
      <c r="A851" s="66"/>
      <c r="B851" s="70"/>
      <c r="C851" s="63" t="s">
        <v>488</v>
      </c>
      <c r="D851" s="63">
        <v>7500</v>
      </c>
      <c r="E851" s="63">
        <f>426/6</f>
        <v>71</v>
      </c>
      <c r="F851" s="63">
        <v>2</v>
      </c>
      <c r="G851" s="64">
        <f t="shared" si="100"/>
        <v>1065000</v>
      </c>
      <c r="H851" s="55"/>
      <c r="I851" s="58"/>
      <c r="J851" s="58"/>
      <c r="K851" s="58"/>
      <c r="L851" s="58"/>
      <c r="M851" s="58"/>
      <c r="N851" s="58"/>
      <c r="O851" s="58"/>
      <c r="P851" s="58"/>
    </row>
    <row r="852" spans="1:16" s="59" customFormat="1" ht="15" x14ac:dyDescent="0.25">
      <c r="A852" s="66"/>
      <c r="B852" s="70"/>
      <c r="C852" s="63" t="s">
        <v>489</v>
      </c>
      <c r="D852" s="63">
        <v>7500</v>
      </c>
      <c r="E852" s="63">
        <v>33</v>
      </c>
      <c r="F852" s="63">
        <v>2</v>
      </c>
      <c r="G852" s="64">
        <f t="shared" si="100"/>
        <v>495000</v>
      </c>
      <c r="H852" s="55"/>
      <c r="I852" s="58"/>
      <c r="J852" s="58"/>
      <c r="K852" s="58"/>
      <c r="L852" s="58"/>
      <c r="M852" s="58"/>
      <c r="N852" s="58"/>
      <c r="O852" s="58"/>
      <c r="P852" s="58"/>
    </row>
    <row r="853" spans="1:16" s="59" customFormat="1" ht="15" x14ac:dyDescent="0.25">
      <c r="A853" s="66"/>
      <c r="B853" s="70"/>
      <c r="C853" s="63" t="s">
        <v>490</v>
      </c>
      <c r="D853" s="63">
        <v>7500</v>
      </c>
      <c r="E853" s="63">
        <v>44</v>
      </c>
      <c r="F853" s="63">
        <v>2</v>
      </c>
      <c r="G853" s="64">
        <f t="shared" si="100"/>
        <v>660000</v>
      </c>
      <c r="H853" s="55"/>
      <c r="I853" s="58"/>
      <c r="J853" s="58"/>
      <c r="K853" s="58"/>
      <c r="L853" s="58"/>
      <c r="M853" s="58"/>
      <c r="N853" s="58"/>
      <c r="O853" s="58"/>
      <c r="P853" s="58"/>
    </row>
    <row r="854" spans="1:16" s="59" customFormat="1" ht="15" x14ac:dyDescent="0.25">
      <c r="A854" s="66"/>
      <c r="B854" s="70"/>
      <c r="C854" s="63" t="s">
        <v>491</v>
      </c>
      <c r="D854" s="63">
        <v>7500</v>
      </c>
      <c r="E854" s="63">
        <v>20</v>
      </c>
      <c r="F854" s="63">
        <v>2</v>
      </c>
      <c r="G854" s="64">
        <f>D854*E854*F854</f>
        <v>300000</v>
      </c>
      <c r="H854" s="55"/>
      <c r="I854" s="58"/>
      <c r="J854" s="58"/>
      <c r="K854" s="58"/>
      <c r="L854" s="58"/>
      <c r="M854" s="58"/>
      <c r="N854" s="58"/>
      <c r="O854" s="58"/>
      <c r="P854" s="58"/>
    </row>
    <row r="855" spans="1:16" s="59" customFormat="1" ht="22.5" x14ac:dyDescent="0.25">
      <c r="A855" s="66"/>
      <c r="B855" s="70"/>
      <c r="C855" s="209" t="s">
        <v>492</v>
      </c>
      <c r="D855" s="63">
        <v>35000</v>
      </c>
      <c r="E855" s="63">
        <v>5</v>
      </c>
      <c r="F855" s="63">
        <v>5</v>
      </c>
      <c r="G855" s="64">
        <f t="shared" si="100"/>
        <v>875000</v>
      </c>
      <c r="H855" s="55"/>
      <c r="I855" s="58"/>
      <c r="J855" s="58"/>
      <c r="K855" s="58"/>
      <c r="L855" s="58"/>
      <c r="M855" s="58"/>
      <c r="N855" s="58"/>
      <c r="O855" s="58"/>
      <c r="P855" s="58"/>
    </row>
    <row r="856" spans="1:16" s="59" customFormat="1" ht="15" x14ac:dyDescent="0.25">
      <c r="A856" s="66"/>
      <c r="B856" s="70"/>
      <c r="C856" s="63" t="s">
        <v>493</v>
      </c>
      <c r="D856" s="63">
        <f>7500*75</f>
        <v>562500</v>
      </c>
      <c r="E856" s="63">
        <v>3</v>
      </c>
      <c r="F856" s="63">
        <v>2</v>
      </c>
      <c r="G856" s="64">
        <f t="shared" si="100"/>
        <v>3375000</v>
      </c>
      <c r="H856" s="55"/>
      <c r="I856" s="58"/>
      <c r="J856" s="58"/>
      <c r="K856" s="58"/>
      <c r="L856" s="58"/>
      <c r="M856" s="58"/>
      <c r="N856" s="58"/>
      <c r="O856" s="58"/>
      <c r="P856" s="58"/>
    </row>
    <row r="857" spans="1:16" s="59" customFormat="1" ht="15" x14ac:dyDescent="0.25">
      <c r="A857" s="66"/>
      <c r="B857" s="70"/>
      <c r="C857" s="208" t="s">
        <v>231</v>
      </c>
      <c r="D857" s="63">
        <v>1000000</v>
      </c>
      <c r="E857" s="63">
        <v>1</v>
      </c>
      <c r="F857" s="63">
        <v>5</v>
      </c>
      <c r="G857" s="64">
        <f>D857*E857*F857</f>
        <v>5000000</v>
      </c>
      <c r="H857" s="55"/>
      <c r="I857" s="58"/>
      <c r="J857" s="58"/>
      <c r="K857" s="58"/>
      <c r="L857" s="58"/>
      <c r="M857" s="58"/>
      <c r="N857" s="58"/>
      <c r="O857" s="58"/>
      <c r="P857" s="58"/>
    </row>
    <row r="858" spans="1:16" s="59" customFormat="1" ht="15" x14ac:dyDescent="0.25">
      <c r="A858" s="66"/>
      <c r="B858" s="70"/>
      <c r="C858" s="208" t="s">
        <v>97</v>
      </c>
      <c r="D858" s="63">
        <v>40000</v>
      </c>
      <c r="E858" s="63">
        <v>43</v>
      </c>
      <c r="F858" s="63">
        <v>5</v>
      </c>
      <c r="G858" s="64">
        <f>D858*E858*F858</f>
        <v>8600000</v>
      </c>
      <c r="H858" s="55"/>
      <c r="I858" s="58"/>
      <c r="J858" s="58"/>
      <c r="K858" s="58"/>
      <c r="L858" s="58"/>
      <c r="M858" s="58"/>
      <c r="N858" s="58"/>
      <c r="O858" s="58"/>
      <c r="P858" s="58"/>
    </row>
    <row r="859" spans="1:16" s="59" customFormat="1" ht="15" x14ac:dyDescent="0.25">
      <c r="A859" s="66"/>
      <c r="B859" s="70"/>
      <c r="C859" s="63" t="s">
        <v>60</v>
      </c>
      <c r="D859" s="63">
        <f>G859/E859/F859</f>
        <v>10623.255813953489</v>
      </c>
      <c r="E859" s="63">
        <f>E858</f>
        <v>43</v>
      </c>
      <c r="F859" s="63">
        <v>5</v>
      </c>
      <c r="G859" s="64">
        <v>2284000</v>
      </c>
      <c r="H859" s="55"/>
      <c r="I859" s="58"/>
      <c r="J859" s="58"/>
      <c r="K859" s="58"/>
      <c r="L859" s="58"/>
      <c r="M859" s="58"/>
      <c r="N859" s="58"/>
      <c r="O859" s="58"/>
      <c r="P859" s="58"/>
    </row>
    <row r="860" spans="1:16" s="59" customFormat="1" ht="15" x14ac:dyDescent="0.25">
      <c r="A860" s="66"/>
      <c r="B860" s="70"/>
      <c r="C860" s="63" t="s">
        <v>147</v>
      </c>
      <c r="D860" s="63">
        <f>G860/E860/F860</f>
        <v>97142.857142857145</v>
      </c>
      <c r="E860" s="63">
        <v>7</v>
      </c>
      <c r="F860" s="63">
        <v>5</v>
      </c>
      <c r="G860" s="64">
        <v>3400000</v>
      </c>
      <c r="H860" s="55"/>
      <c r="I860" s="58"/>
      <c r="J860" s="58"/>
      <c r="K860" s="58"/>
      <c r="L860" s="58"/>
      <c r="M860" s="58"/>
      <c r="N860" s="58"/>
      <c r="O860" s="58"/>
      <c r="P860" s="58"/>
    </row>
    <row r="861" spans="1:16" s="59" customFormat="1" ht="15.75" thickBot="1" x14ac:dyDescent="0.3">
      <c r="A861" s="66"/>
      <c r="B861" s="71"/>
      <c r="C861" s="63"/>
      <c r="D861" s="63"/>
      <c r="E861" s="63"/>
      <c r="F861" s="63"/>
      <c r="G861" s="64"/>
      <c r="H861" s="55"/>
      <c r="I861" s="58"/>
      <c r="J861" s="58"/>
      <c r="K861" s="58"/>
      <c r="L861" s="58"/>
      <c r="M861" s="58"/>
      <c r="N861" s="58"/>
      <c r="O861" s="58"/>
      <c r="P861" s="58"/>
    </row>
    <row r="862" spans="1:16" s="59" customFormat="1" ht="15.75" thickBot="1" x14ac:dyDescent="0.3">
      <c r="A862" s="66"/>
      <c r="B862" s="71"/>
      <c r="C862" s="72" t="s">
        <v>140</v>
      </c>
      <c r="D862" s="72"/>
      <c r="E862" s="72"/>
      <c r="F862" s="72"/>
      <c r="G862" s="73">
        <f>SUM(G830:G861)</f>
        <v>104854000</v>
      </c>
      <c r="H862" s="74">
        <f>G862/$G$1</f>
        <v>12887.659783677484</v>
      </c>
      <c r="I862" s="58"/>
      <c r="J862" s="58"/>
      <c r="K862" s="58"/>
      <c r="L862" s="58"/>
      <c r="M862" s="58"/>
      <c r="N862" s="58"/>
      <c r="O862" s="58"/>
      <c r="P862" s="58"/>
    </row>
    <row r="863" spans="1:16" s="59" customFormat="1" ht="15" x14ac:dyDescent="0.25">
      <c r="A863" s="66"/>
      <c r="B863" s="71"/>
      <c r="C863" s="63"/>
      <c r="D863" s="63"/>
      <c r="E863" s="63"/>
      <c r="F863" s="63"/>
      <c r="G863" s="64"/>
      <c r="H863" s="55"/>
      <c r="I863" s="58"/>
      <c r="J863" s="58"/>
      <c r="K863" s="58"/>
      <c r="L863" s="58"/>
      <c r="M863" s="58"/>
      <c r="N863" s="58"/>
      <c r="O863" s="58"/>
      <c r="P863" s="58"/>
    </row>
    <row r="864" spans="1:16" s="59" customFormat="1" ht="15.75" thickBot="1" x14ac:dyDescent="0.3">
      <c r="A864" s="213"/>
      <c r="B864" s="214"/>
      <c r="C864" s="214"/>
      <c r="D864" s="215"/>
      <c r="E864" s="215"/>
      <c r="F864" s="216"/>
      <c r="G864" s="217"/>
      <c r="H864" s="55"/>
      <c r="I864" s="58"/>
      <c r="J864" s="58"/>
      <c r="K864" s="58"/>
      <c r="L864" s="58"/>
      <c r="M864" s="58"/>
      <c r="N864" s="58"/>
      <c r="O864" s="58"/>
      <c r="P864" s="58"/>
    </row>
    <row r="865" spans="1:16" s="57" customFormat="1" ht="12.75" thickBot="1" x14ac:dyDescent="0.3">
      <c r="A865" s="218"/>
      <c r="G865" s="220"/>
      <c r="H865" s="55"/>
    </row>
    <row r="866" spans="1:16" s="59" customFormat="1" ht="15" x14ac:dyDescent="0.25">
      <c r="A866" s="207">
        <v>2.2999999999999998</v>
      </c>
      <c r="B866" s="757" t="s">
        <v>494</v>
      </c>
      <c r="C866" s="53" t="s">
        <v>39</v>
      </c>
      <c r="D866" s="53">
        <v>150000</v>
      </c>
      <c r="E866" s="53">
        <v>1</v>
      </c>
      <c r="F866" s="53">
        <v>1</v>
      </c>
      <c r="G866" s="54">
        <f t="shared" ref="G866:G887" si="101">D866*E866*F866</f>
        <v>150000</v>
      </c>
      <c r="H866" s="55"/>
      <c r="I866" s="58"/>
      <c r="J866" s="58"/>
      <c r="K866" s="58"/>
      <c r="L866" s="58"/>
      <c r="M866" s="58"/>
      <c r="N866" s="58"/>
      <c r="O866" s="58"/>
      <c r="P866" s="58"/>
    </row>
    <row r="867" spans="1:16" s="59" customFormat="1" ht="15" x14ac:dyDescent="0.25">
      <c r="A867" s="66"/>
      <c r="B867" s="758"/>
      <c r="C867" s="63" t="s">
        <v>445</v>
      </c>
      <c r="D867" s="63">
        <v>270000</v>
      </c>
      <c r="E867" s="63">
        <v>1</v>
      </c>
      <c r="F867" s="63">
        <v>5</v>
      </c>
      <c r="G867" s="64">
        <f t="shared" si="101"/>
        <v>1350000</v>
      </c>
      <c r="H867" s="55"/>
      <c r="I867" s="58"/>
      <c r="J867" s="58"/>
      <c r="K867" s="58"/>
      <c r="L867" s="58"/>
      <c r="M867" s="58"/>
      <c r="N867" s="58"/>
      <c r="O867" s="58"/>
      <c r="P867" s="58"/>
    </row>
    <row r="868" spans="1:16" s="59" customFormat="1" ht="15" x14ac:dyDescent="0.25">
      <c r="A868" s="66"/>
      <c r="B868" s="758"/>
      <c r="C868" s="63" t="s">
        <v>446</v>
      </c>
      <c r="D868" s="63">
        <v>100000</v>
      </c>
      <c r="E868" s="63">
        <v>1</v>
      </c>
      <c r="F868" s="63">
        <v>1</v>
      </c>
      <c r="G868" s="64">
        <f t="shared" si="101"/>
        <v>100000</v>
      </c>
      <c r="H868" s="55"/>
      <c r="I868" s="58"/>
      <c r="J868" s="58"/>
      <c r="K868" s="58"/>
      <c r="L868" s="58"/>
      <c r="M868" s="58"/>
      <c r="N868" s="58"/>
      <c r="O868" s="58"/>
      <c r="P868" s="58"/>
    </row>
    <row r="869" spans="1:16" s="59" customFormat="1" ht="22.5" x14ac:dyDescent="0.25">
      <c r="A869" s="66"/>
      <c r="B869" s="758"/>
      <c r="C869" s="208" t="s">
        <v>447</v>
      </c>
      <c r="D869" s="63">
        <v>250000</v>
      </c>
      <c r="E869" s="63">
        <v>5</v>
      </c>
      <c r="F869" s="63">
        <v>5</v>
      </c>
      <c r="G869" s="64">
        <f t="shared" si="101"/>
        <v>6250000</v>
      </c>
      <c r="H869" s="55"/>
      <c r="I869" s="58"/>
      <c r="J869" s="58"/>
      <c r="K869" s="58"/>
      <c r="L869" s="58"/>
      <c r="M869" s="58"/>
      <c r="N869" s="58"/>
      <c r="O869" s="58"/>
      <c r="P869" s="58"/>
    </row>
    <row r="870" spans="1:16" s="59" customFormat="1" ht="22.5" x14ac:dyDescent="0.25">
      <c r="A870" s="66"/>
      <c r="B870" s="71"/>
      <c r="C870" s="208" t="s">
        <v>448</v>
      </c>
      <c r="D870" s="63">
        <f>D868</f>
        <v>100000</v>
      </c>
      <c r="E870" s="63">
        <f>E869</f>
        <v>5</v>
      </c>
      <c r="F870" s="63">
        <v>1</v>
      </c>
      <c r="G870" s="64">
        <f t="shared" si="101"/>
        <v>500000</v>
      </c>
      <c r="H870" s="55"/>
      <c r="I870" s="58"/>
      <c r="J870" s="58"/>
      <c r="K870" s="58"/>
      <c r="L870" s="58"/>
      <c r="M870" s="58"/>
      <c r="N870" s="58"/>
      <c r="O870" s="58"/>
      <c r="P870" s="58"/>
    </row>
    <row r="871" spans="1:16" s="59" customFormat="1" ht="15" x14ac:dyDescent="0.25">
      <c r="A871" s="66"/>
      <c r="B871" s="71"/>
      <c r="C871" s="63" t="s">
        <v>449</v>
      </c>
      <c r="D871" s="63">
        <f>D869</f>
        <v>250000</v>
      </c>
      <c r="E871" s="63">
        <v>3</v>
      </c>
      <c r="F871" s="63">
        <v>5</v>
      </c>
      <c r="G871" s="64">
        <f t="shared" si="101"/>
        <v>3750000</v>
      </c>
      <c r="H871" s="55"/>
      <c r="I871" s="58"/>
      <c r="J871" s="58"/>
      <c r="K871" s="58"/>
      <c r="L871" s="58"/>
      <c r="M871" s="58"/>
      <c r="N871" s="58"/>
      <c r="O871" s="58"/>
      <c r="P871" s="58"/>
    </row>
    <row r="872" spans="1:16" s="59" customFormat="1" ht="15" x14ac:dyDescent="0.25">
      <c r="A872" s="66"/>
      <c r="B872" s="71"/>
      <c r="C872" s="63" t="s">
        <v>450</v>
      </c>
      <c r="D872" s="63">
        <f>D870</f>
        <v>100000</v>
      </c>
      <c r="E872" s="63">
        <f>E871</f>
        <v>3</v>
      </c>
      <c r="F872" s="63">
        <v>1</v>
      </c>
      <c r="G872" s="64">
        <f t="shared" si="101"/>
        <v>300000</v>
      </c>
      <c r="H872" s="55"/>
      <c r="I872" s="58"/>
      <c r="J872" s="58"/>
      <c r="K872" s="58"/>
      <c r="L872" s="58"/>
      <c r="M872" s="58"/>
      <c r="N872" s="58"/>
      <c r="O872" s="58"/>
      <c r="P872" s="58"/>
    </row>
    <row r="873" spans="1:16" s="59" customFormat="1" ht="15" x14ac:dyDescent="0.25">
      <c r="A873" s="66"/>
      <c r="B873" s="71"/>
      <c r="C873" s="63" t="s">
        <v>451</v>
      </c>
      <c r="D873" s="63">
        <v>250000</v>
      </c>
      <c r="E873" s="63">
        <v>3</v>
      </c>
      <c r="F873" s="63">
        <v>5</v>
      </c>
      <c r="G873" s="64">
        <f t="shared" si="101"/>
        <v>3750000</v>
      </c>
      <c r="H873" s="55"/>
      <c r="I873" s="58"/>
      <c r="J873" s="58"/>
      <c r="K873" s="58"/>
      <c r="L873" s="58"/>
      <c r="M873" s="58"/>
      <c r="N873" s="58"/>
      <c r="O873" s="58"/>
      <c r="P873" s="58"/>
    </row>
    <row r="874" spans="1:16" s="59" customFormat="1" ht="15" x14ac:dyDescent="0.25">
      <c r="A874" s="66"/>
      <c r="B874" s="71"/>
      <c r="C874" s="63" t="s">
        <v>452</v>
      </c>
      <c r="D874" s="63">
        <f>D872</f>
        <v>100000</v>
      </c>
      <c r="E874" s="63">
        <v>3</v>
      </c>
      <c r="F874" s="63">
        <v>1</v>
      </c>
      <c r="G874" s="64">
        <f t="shared" si="101"/>
        <v>300000</v>
      </c>
      <c r="H874" s="55"/>
      <c r="I874" s="58"/>
      <c r="J874" s="58"/>
      <c r="K874" s="58"/>
      <c r="L874" s="58"/>
      <c r="M874" s="58"/>
      <c r="N874" s="58"/>
      <c r="O874" s="58"/>
      <c r="P874" s="58"/>
    </row>
    <row r="875" spans="1:16" s="59" customFormat="1" ht="15" x14ac:dyDescent="0.25">
      <c r="A875" s="66"/>
      <c r="B875" s="71"/>
      <c r="C875" s="63" t="s">
        <v>495</v>
      </c>
      <c r="D875" s="63">
        <f>D873</f>
        <v>250000</v>
      </c>
      <c r="E875" s="63">
        <v>4</v>
      </c>
      <c r="F875" s="63">
        <v>5</v>
      </c>
      <c r="G875" s="64">
        <f t="shared" si="101"/>
        <v>5000000</v>
      </c>
      <c r="H875" s="55"/>
      <c r="I875" s="58"/>
      <c r="J875" s="58"/>
      <c r="K875" s="58"/>
      <c r="L875" s="58"/>
      <c r="M875" s="58"/>
      <c r="N875" s="58"/>
      <c r="O875" s="58"/>
      <c r="P875" s="58"/>
    </row>
    <row r="876" spans="1:16" s="59" customFormat="1" ht="15" x14ac:dyDescent="0.25">
      <c r="A876" s="66"/>
      <c r="B876" s="71"/>
      <c r="C876" s="63" t="s">
        <v>496</v>
      </c>
      <c r="D876" s="63">
        <f>D874</f>
        <v>100000</v>
      </c>
      <c r="E876" s="63">
        <f>E875</f>
        <v>4</v>
      </c>
      <c r="F876" s="63">
        <v>1</v>
      </c>
      <c r="G876" s="64">
        <f t="shared" si="101"/>
        <v>400000</v>
      </c>
      <c r="H876" s="55"/>
      <c r="I876" s="58"/>
      <c r="J876" s="58"/>
      <c r="K876" s="58"/>
      <c r="L876" s="58"/>
      <c r="M876" s="58"/>
      <c r="N876" s="58"/>
      <c r="O876" s="58"/>
      <c r="P876" s="58"/>
    </row>
    <row r="877" spans="1:16" s="59" customFormat="1" ht="22.5" x14ac:dyDescent="0.25">
      <c r="A877" s="66"/>
      <c r="B877" s="71"/>
      <c r="C877" s="209" t="s">
        <v>497</v>
      </c>
      <c r="D877" s="63">
        <v>250000</v>
      </c>
      <c r="E877" s="63">
        <v>15</v>
      </c>
      <c r="F877" s="63">
        <v>5</v>
      </c>
      <c r="G877" s="64">
        <f t="shared" si="101"/>
        <v>18750000</v>
      </c>
      <c r="H877" s="55"/>
      <c r="I877" s="58"/>
      <c r="J877" s="58"/>
      <c r="K877" s="58"/>
      <c r="L877" s="58"/>
      <c r="M877" s="58"/>
      <c r="N877" s="58"/>
      <c r="O877" s="58"/>
      <c r="P877" s="58"/>
    </row>
    <row r="878" spans="1:16" s="59" customFormat="1" ht="22.5" x14ac:dyDescent="0.25">
      <c r="A878" s="66"/>
      <c r="B878" s="71"/>
      <c r="C878" s="209" t="s">
        <v>498</v>
      </c>
      <c r="D878" s="63">
        <v>100000</v>
      </c>
      <c r="E878" s="63">
        <f>E877</f>
        <v>15</v>
      </c>
      <c r="F878" s="63">
        <v>1</v>
      </c>
      <c r="G878" s="64">
        <f t="shared" si="101"/>
        <v>1500000</v>
      </c>
      <c r="H878" s="55"/>
      <c r="I878" s="58"/>
      <c r="J878" s="58"/>
      <c r="K878" s="58"/>
      <c r="L878" s="58"/>
      <c r="M878" s="58"/>
      <c r="N878" s="58"/>
      <c r="O878" s="58"/>
      <c r="P878" s="58"/>
    </row>
    <row r="879" spans="1:16" s="59" customFormat="1" ht="15" x14ac:dyDescent="0.25">
      <c r="A879" s="66"/>
      <c r="B879" s="71"/>
      <c r="C879" s="209" t="s">
        <v>499</v>
      </c>
      <c r="D879" s="63">
        <v>250000</v>
      </c>
      <c r="E879" s="63">
        <v>6</v>
      </c>
      <c r="F879" s="63">
        <v>5</v>
      </c>
      <c r="G879" s="64">
        <f t="shared" si="101"/>
        <v>7500000</v>
      </c>
      <c r="H879" s="55"/>
      <c r="I879" s="58"/>
      <c r="J879" s="58"/>
      <c r="K879" s="58"/>
      <c r="L879" s="58"/>
      <c r="M879" s="58"/>
      <c r="N879" s="58"/>
      <c r="O879" s="58"/>
      <c r="P879" s="58"/>
    </row>
    <row r="880" spans="1:16" s="59" customFormat="1" ht="15" x14ac:dyDescent="0.25">
      <c r="A880" s="66"/>
      <c r="B880" s="71"/>
      <c r="C880" s="209" t="s">
        <v>500</v>
      </c>
      <c r="D880" s="63">
        <v>100000</v>
      </c>
      <c r="E880" s="63">
        <f>E879</f>
        <v>6</v>
      </c>
      <c r="F880" s="63">
        <v>1</v>
      </c>
      <c r="G880" s="64">
        <f t="shared" si="101"/>
        <v>600000</v>
      </c>
      <c r="H880" s="55"/>
      <c r="I880" s="58"/>
      <c r="J880" s="58"/>
      <c r="K880" s="58"/>
      <c r="L880" s="58"/>
      <c r="M880" s="58"/>
      <c r="N880" s="58"/>
      <c r="O880" s="58"/>
      <c r="P880" s="58"/>
    </row>
    <row r="881" spans="1:16" s="59" customFormat="1" ht="15" x14ac:dyDescent="0.25">
      <c r="A881" s="66"/>
      <c r="B881" s="71"/>
      <c r="C881" s="63" t="s">
        <v>501</v>
      </c>
      <c r="D881" s="63"/>
      <c r="E881" s="63">
        <v>7</v>
      </c>
      <c r="F881" s="63"/>
      <c r="G881" s="64">
        <f t="shared" si="101"/>
        <v>0</v>
      </c>
      <c r="H881" s="55"/>
      <c r="I881" s="58"/>
      <c r="J881" s="58"/>
      <c r="K881" s="58"/>
      <c r="L881" s="58"/>
      <c r="M881" s="58"/>
      <c r="N881" s="58"/>
      <c r="O881" s="58"/>
      <c r="P881" s="58"/>
    </row>
    <row r="882" spans="1:16" s="59" customFormat="1" ht="15" x14ac:dyDescent="0.25">
      <c r="A882" s="66"/>
      <c r="B882" s="71"/>
      <c r="C882" s="209" t="s">
        <v>502</v>
      </c>
      <c r="D882" s="63">
        <v>250000</v>
      </c>
      <c r="E882" s="63">
        <v>3</v>
      </c>
      <c r="F882" s="63">
        <v>5</v>
      </c>
      <c r="G882" s="64">
        <f t="shared" si="101"/>
        <v>3750000</v>
      </c>
      <c r="H882" s="55"/>
      <c r="I882" s="58"/>
      <c r="J882" s="58"/>
      <c r="K882" s="58"/>
      <c r="L882" s="58"/>
      <c r="M882" s="58"/>
      <c r="N882" s="58"/>
      <c r="O882" s="58"/>
      <c r="P882" s="58"/>
    </row>
    <row r="883" spans="1:16" s="59" customFormat="1" ht="15" x14ac:dyDescent="0.25">
      <c r="A883" s="66"/>
      <c r="B883" s="71"/>
      <c r="C883" s="209" t="s">
        <v>503</v>
      </c>
      <c r="D883" s="63">
        <v>100000</v>
      </c>
      <c r="E883" s="63">
        <f>E882</f>
        <v>3</v>
      </c>
      <c r="F883" s="63">
        <v>1</v>
      </c>
      <c r="G883" s="64">
        <f t="shared" si="101"/>
        <v>300000</v>
      </c>
      <c r="H883" s="55"/>
      <c r="I883" s="58"/>
      <c r="J883" s="58"/>
      <c r="K883" s="58"/>
      <c r="L883" s="58"/>
      <c r="M883" s="58"/>
      <c r="N883" s="58"/>
      <c r="O883" s="58"/>
      <c r="P883" s="58"/>
    </row>
    <row r="884" spans="1:16" s="59" customFormat="1" ht="15" x14ac:dyDescent="0.25">
      <c r="A884" s="66"/>
      <c r="B884" s="70"/>
      <c r="C884" s="209" t="s">
        <v>421</v>
      </c>
      <c r="D884" s="63">
        <v>35000</v>
      </c>
      <c r="E884" s="63">
        <f>E881</f>
        <v>7</v>
      </c>
      <c r="F884" s="63">
        <v>4</v>
      </c>
      <c r="G884" s="64">
        <f t="shared" si="101"/>
        <v>980000</v>
      </c>
      <c r="H884" s="55"/>
      <c r="I884" s="58"/>
      <c r="J884" s="58"/>
      <c r="K884" s="58"/>
      <c r="L884" s="58"/>
      <c r="M884" s="58"/>
      <c r="N884" s="58"/>
      <c r="O884" s="58"/>
      <c r="P884" s="58"/>
    </row>
    <row r="885" spans="1:16" s="59" customFormat="1" ht="15" x14ac:dyDescent="0.25">
      <c r="A885" s="66"/>
      <c r="B885" s="70"/>
      <c r="C885" s="63" t="s">
        <v>504</v>
      </c>
      <c r="D885" s="63">
        <v>1950000</v>
      </c>
      <c r="E885" s="63">
        <v>1</v>
      </c>
      <c r="F885" s="63">
        <v>2</v>
      </c>
      <c r="G885" s="64">
        <f t="shared" si="101"/>
        <v>3900000</v>
      </c>
      <c r="H885" s="55"/>
      <c r="I885" s="58"/>
      <c r="J885" s="58"/>
      <c r="K885" s="58"/>
      <c r="L885" s="58"/>
      <c r="M885" s="58"/>
      <c r="N885" s="58"/>
      <c r="O885" s="58"/>
      <c r="P885" s="58"/>
    </row>
    <row r="886" spans="1:16" s="59" customFormat="1" ht="15" x14ac:dyDescent="0.25">
      <c r="A886" s="66"/>
      <c r="B886" s="70"/>
      <c r="C886" s="63" t="s">
        <v>505</v>
      </c>
      <c r="D886" s="63">
        <f>7500*21</f>
        <v>157500</v>
      </c>
      <c r="E886" s="63">
        <v>3</v>
      </c>
      <c r="F886" s="63">
        <v>2</v>
      </c>
      <c r="G886" s="64">
        <f t="shared" si="101"/>
        <v>945000</v>
      </c>
      <c r="H886" s="55"/>
      <c r="I886" s="58"/>
      <c r="J886" s="58"/>
      <c r="K886" s="58"/>
      <c r="L886" s="58"/>
      <c r="M886" s="58"/>
      <c r="N886" s="58"/>
      <c r="O886" s="58"/>
      <c r="P886" s="58"/>
    </row>
    <row r="887" spans="1:16" s="59" customFormat="1" ht="15" x14ac:dyDescent="0.25">
      <c r="A887" s="66"/>
      <c r="B887" s="70"/>
      <c r="C887" s="63" t="s">
        <v>506</v>
      </c>
      <c r="D887" s="63">
        <f>7500*18</f>
        <v>135000</v>
      </c>
      <c r="E887" s="63">
        <v>1</v>
      </c>
      <c r="F887" s="63">
        <v>2</v>
      </c>
      <c r="G887" s="64">
        <f t="shared" si="101"/>
        <v>270000</v>
      </c>
      <c r="H887" s="55"/>
      <c r="I887" s="58"/>
      <c r="J887" s="58"/>
      <c r="K887" s="58"/>
      <c r="L887" s="58"/>
      <c r="M887" s="58"/>
      <c r="N887" s="58"/>
      <c r="O887" s="58"/>
      <c r="P887" s="58"/>
    </row>
    <row r="888" spans="1:16" s="59" customFormat="1" ht="15" x14ac:dyDescent="0.25">
      <c r="A888" s="66"/>
      <c r="B888" s="70"/>
      <c r="C888" s="208" t="s">
        <v>231</v>
      </c>
      <c r="D888" s="63">
        <v>1000000</v>
      </c>
      <c r="E888" s="63">
        <v>1</v>
      </c>
      <c r="F888" s="63">
        <v>5</v>
      </c>
      <c r="G888" s="64">
        <f>D888*E888*F888</f>
        <v>5000000</v>
      </c>
      <c r="H888" s="55"/>
      <c r="I888" s="58"/>
      <c r="J888" s="58"/>
      <c r="K888" s="58"/>
      <c r="L888" s="58"/>
      <c r="M888" s="58"/>
      <c r="N888" s="58"/>
      <c r="O888" s="58"/>
      <c r="P888" s="58"/>
    </row>
    <row r="889" spans="1:16" s="59" customFormat="1" ht="15" x14ac:dyDescent="0.25">
      <c r="A889" s="66"/>
      <c r="B889" s="70"/>
      <c r="C889" s="208" t="s">
        <v>97</v>
      </c>
      <c r="D889" s="63">
        <v>40000</v>
      </c>
      <c r="E889" s="63">
        <v>43</v>
      </c>
      <c r="F889" s="63">
        <v>5</v>
      </c>
      <c r="G889" s="64">
        <f>D889*E889*F889</f>
        <v>8600000</v>
      </c>
      <c r="H889" s="55"/>
      <c r="I889" s="58"/>
      <c r="J889" s="58"/>
      <c r="K889" s="58"/>
      <c r="L889" s="58"/>
      <c r="M889" s="58"/>
      <c r="N889" s="58"/>
      <c r="O889" s="58"/>
      <c r="P889" s="58"/>
    </row>
    <row r="890" spans="1:16" s="59" customFormat="1" ht="15" x14ac:dyDescent="0.25">
      <c r="A890" s="66"/>
      <c r="B890" s="70"/>
      <c r="C890" s="63" t="s">
        <v>60</v>
      </c>
      <c r="D890" s="63">
        <f>G890/E890/F890</f>
        <v>53116.279069767443</v>
      </c>
      <c r="E890" s="63">
        <f>E889</f>
        <v>43</v>
      </c>
      <c r="F890" s="63">
        <v>1</v>
      </c>
      <c r="G890" s="64">
        <v>2284000</v>
      </c>
      <c r="H890" s="55"/>
      <c r="I890" s="58"/>
      <c r="J890" s="58"/>
      <c r="K890" s="58"/>
      <c r="L890" s="58"/>
      <c r="M890" s="58"/>
      <c r="N890" s="58"/>
      <c r="O890" s="58"/>
      <c r="P890" s="58"/>
    </row>
    <row r="891" spans="1:16" s="59" customFormat="1" ht="15" x14ac:dyDescent="0.25">
      <c r="A891" s="66"/>
      <c r="B891" s="70"/>
      <c r="C891" s="63" t="s">
        <v>147</v>
      </c>
      <c r="D891" s="63">
        <f>G891/E891/F891</f>
        <v>113333.33333333333</v>
      </c>
      <c r="E891" s="63">
        <v>6</v>
      </c>
      <c r="F891" s="63">
        <v>5</v>
      </c>
      <c r="G891" s="64">
        <v>3400000</v>
      </c>
      <c r="H891" s="55"/>
      <c r="I891" s="58"/>
      <c r="J891" s="58"/>
      <c r="K891" s="58"/>
      <c r="L891" s="58"/>
      <c r="M891" s="58"/>
      <c r="N891" s="58"/>
      <c r="O891" s="58"/>
      <c r="P891" s="58"/>
    </row>
    <row r="892" spans="1:16" s="59" customFormat="1" ht="15.75" thickBot="1" x14ac:dyDescent="0.3">
      <c r="A892" s="66"/>
      <c r="B892" s="71"/>
      <c r="C892" s="63"/>
      <c r="D892" s="63"/>
      <c r="E892" s="63"/>
      <c r="F892" s="63"/>
      <c r="G892" s="64"/>
      <c r="H892" s="55"/>
      <c r="I892" s="58"/>
      <c r="J892" s="58"/>
      <c r="K892" s="58"/>
      <c r="L892" s="58"/>
      <c r="M892" s="58"/>
      <c r="N892" s="58"/>
      <c r="O892" s="58"/>
      <c r="P892" s="58"/>
    </row>
    <row r="893" spans="1:16" s="59" customFormat="1" ht="15.75" thickBot="1" x14ac:dyDescent="0.3">
      <c r="A893" s="66"/>
      <c r="B893" s="71"/>
      <c r="C893" s="72" t="s">
        <v>140</v>
      </c>
      <c r="D893" s="72"/>
      <c r="E893" s="72"/>
      <c r="F893" s="72"/>
      <c r="G893" s="73">
        <f>SUM(G866:G892)</f>
        <v>79629000</v>
      </c>
      <c r="H893" s="74">
        <f>G893/$G$1</f>
        <v>9787.241887905604</v>
      </c>
      <c r="I893" s="58"/>
      <c r="J893" s="58"/>
      <c r="K893" s="58"/>
      <c r="L893" s="58"/>
      <c r="M893" s="58"/>
      <c r="N893" s="58"/>
      <c r="O893" s="58"/>
      <c r="P893" s="58"/>
    </row>
    <row r="894" spans="1:16" s="59" customFormat="1" ht="15" x14ac:dyDescent="0.25">
      <c r="A894" s="66"/>
      <c r="B894" s="71"/>
      <c r="C894" s="63"/>
      <c r="D894" s="63"/>
      <c r="E894" s="63"/>
      <c r="F894" s="63"/>
      <c r="G894" s="64"/>
      <c r="H894" s="55"/>
      <c r="I894" s="58"/>
      <c r="J894" s="58"/>
      <c r="K894" s="58"/>
      <c r="L894" s="58"/>
      <c r="M894" s="58"/>
      <c r="N894" s="58"/>
      <c r="O894" s="58"/>
      <c r="P894" s="58"/>
    </row>
    <row r="895" spans="1:16" s="59" customFormat="1" ht="15.75" thickBot="1" x14ac:dyDescent="0.3">
      <c r="A895" s="213"/>
      <c r="B895" s="214"/>
      <c r="C895" s="214"/>
      <c r="D895" s="215"/>
      <c r="E895" s="215"/>
      <c r="F895" s="216"/>
      <c r="G895" s="217"/>
      <c r="H895" s="55"/>
      <c r="I895" s="58"/>
      <c r="J895" s="58"/>
      <c r="K895" s="58"/>
      <c r="L895" s="58"/>
      <c r="M895" s="58"/>
      <c r="N895" s="58"/>
      <c r="O895" s="58"/>
      <c r="P895" s="58"/>
    </row>
    <row r="896" spans="1:16" s="57" customFormat="1" ht="12.75" thickBot="1" x14ac:dyDescent="0.3">
      <c r="D896" s="759"/>
      <c r="E896" s="759"/>
      <c r="F896" s="759"/>
      <c r="G896" s="759"/>
      <c r="H896" s="55"/>
    </row>
    <row r="897" spans="1:16" customFormat="1" ht="15.75" thickTop="1" x14ac:dyDescent="0.25">
      <c r="A897" s="207">
        <v>3</v>
      </c>
      <c r="B897" s="750" t="s">
        <v>507</v>
      </c>
      <c r="C897" s="221" t="s">
        <v>508</v>
      </c>
      <c r="D897" s="221">
        <v>250000</v>
      </c>
      <c r="E897" s="221">
        <v>4</v>
      </c>
      <c r="F897" s="221">
        <v>7</v>
      </c>
      <c r="G897" s="222">
        <f t="shared" ref="G897:G903" si="102">D897*E897*F897</f>
        <v>7000000</v>
      </c>
      <c r="H897" s="223"/>
      <c r="I897" s="224"/>
      <c r="J897" s="224"/>
      <c r="K897" s="224"/>
      <c r="L897" s="224"/>
      <c r="M897" s="224"/>
      <c r="N897" s="224"/>
      <c r="O897" s="224"/>
      <c r="P897" s="224"/>
    </row>
    <row r="898" spans="1:16" customFormat="1" ht="15" x14ac:dyDescent="0.25">
      <c r="A898" s="66"/>
      <c r="B898" s="751"/>
      <c r="C898" s="225" t="s">
        <v>509</v>
      </c>
      <c r="D898" s="225">
        <v>100000</v>
      </c>
      <c r="E898" s="225">
        <v>4</v>
      </c>
      <c r="F898" s="225">
        <v>1</v>
      </c>
      <c r="G898" s="226">
        <f t="shared" si="102"/>
        <v>400000</v>
      </c>
      <c r="H898" s="223"/>
      <c r="I898" s="224"/>
      <c r="J898" s="224"/>
      <c r="K898" s="224"/>
      <c r="L898" s="224"/>
      <c r="M898" s="224"/>
      <c r="N898" s="224"/>
      <c r="O898" s="224"/>
      <c r="P898" s="224"/>
    </row>
    <row r="899" spans="1:16" customFormat="1" ht="15" x14ac:dyDescent="0.25">
      <c r="A899" s="66">
        <v>1</v>
      </c>
      <c r="B899" s="72" t="s">
        <v>510</v>
      </c>
      <c r="C899" s="225" t="s">
        <v>511</v>
      </c>
      <c r="D899" s="225">
        <v>250000</v>
      </c>
      <c r="E899" s="225">
        <v>2</v>
      </c>
      <c r="F899" s="225">
        <v>3</v>
      </c>
      <c r="G899" s="226">
        <f t="shared" si="102"/>
        <v>1500000</v>
      </c>
      <c r="H899" s="223"/>
      <c r="I899" s="224"/>
      <c r="J899" s="224"/>
      <c r="K899" s="224"/>
      <c r="L899" s="224"/>
      <c r="M899" s="224"/>
      <c r="N899" s="224"/>
      <c r="O899" s="224"/>
      <c r="P899" s="224"/>
    </row>
    <row r="900" spans="1:16" customFormat="1" ht="15" x14ac:dyDescent="0.25">
      <c r="A900" s="66">
        <v>2</v>
      </c>
      <c r="B900" s="72" t="s">
        <v>512</v>
      </c>
      <c r="C900" s="225" t="s">
        <v>513</v>
      </c>
      <c r="D900" s="227">
        <f>D898</f>
        <v>100000</v>
      </c>
      <c r="E900" s="225">
        <v>2</v>
      </c>
      <c r="F900" s="225">
        <v>1</v>
      </c>
      <c r="G900" s="226">
        <f t="shared" si="102"/>
        <v>200000</v>
      </c>
      <c r="H900" s="223"/>
      <c r="I900" s="224"/>
      <c r="J900" s="224"/>
      <c r="K900" s="224"/>
      <c r="L900" s="224"/>
      <c r="M900" s="224"/>
      <c r="N900" s="224"/>
      <c r="O900" s="224"/>
      <c r="P900" s="224"/>
    </row>
    <row r="901" spans="1:16" customFormat="1" ht="15" x14ac:dyDescent="0.25">
      <c r="A901" s="66">
        <v>3</v>
      </c>
      <c r="B901" s="72" t="s">
        <v>514</v>
      </c>
      <c r="C901" s="225" t="s">
        <v>515</v>
      </c>
      <c r="D901" s="225">
        <v>250000</v>
      </c>
      <c r="E901" s="225">
        <v>2</v>
      </c>
      <c r="F901" s="225">
        <v>1</v>
      </c>
      <c r="G901" s="226">
        <f t="shared" si="102"/>
        <v>500000</v>
      </c>
      <c r="H901" s="223"/>
      <c r="I901" s="224"/>
      <c r="J901" s="224"/>
      <c r="K901" s="224"/>
      <c r="L901" s="224"/>
      <c r="M901" s="224"/>
      <c r="N901" s="224"/>
      <c r="O901" s="224"/>
      <c r="P901" s="224"/>
    </row>
    <row r="902" spans="1:16" customFormat="1" ht="15" x14ac:dyDescent="0.25">
      <c r="A902" s="66">
        <v>4</v>
      </c>
      <c r="B902" s="72" t="s">
        <v>516</v>
      </c>
      <c r="C902" s="225" t="s">
        <v>517</v>
      </c>
      <c r="D902" s="225">
        <v>100000</v>
      </c>
      <c r="E902" s="225">
        <v>2</v>
      </c>
      <c r="F902" s="225">
        <v>1</v>
      </c>
      <c r="G902" s="226">
        <f t="shared" si="102"/>
        <v>200000</v>
      </c>
      <c r="H902" s="223"/>
      <c r="I902" s="224"/>
      <c r="J902" s="224"/>
      <c r="K902" s="224"/>
      <c r="L902" s="224"/>
      <c r="M902" s="224"/>
      <c r="N902" s="224"/>
      <c r="O902" s="224"/>
      <c r="P902" s="224"/>
    </row>
    <row r="903" spans="1:16" customFormat="1" ht="15" x14ac:dyDescent="0.25">
      <c r="A903" s="66">
        <v>5</v>
      </c>
      <c r="B903" s="72" t="s">
        <v>518</v>
      </c>
      <c r="C903" s="225" t="s">
        <v>519</v>
      </c>
      <c r="D903" s="225">
        <v>1300000</v>
      </c>
      <c r="E903" s="225">
        <v>4</v>
      </c>
      <c r="F903" s="225">
        <v>1</v>
      </c>
      <c r="G903" s="226">
        <f t="shared" si="102"/>
        <v>5200000</v>
      </c>
      <c r="H903" s="223"/>
      <c r="I903" s="224"/>
      <c r="J903" s="224"/>
      <c r="K903" s="224"/>
      <c r="L903" s="224"/>
      <c r="M903" s="224"/>
      <c r="N903" s="224"/>
      <c r="O903" s="224"/>
      <c r="P903" s="224"/>
    </row>
    <row r="904" spans="1:16" customFormat="1" ht="15" x14ac:dyDescent="0.25">
      <c r="A904" s="66">
        <v>6</v>
      </c>
      <c r="B904" s="72" t="s">
        <v>520</v>
      </c>
      <c r="C904" s="225" t="s">
        <v>521</v>
      </c>
      <c r="D904" s="225">
        <f>7500</f>
        <v>7500</v>
      </c>
      <c r="E904" s="225">
        <v>39</v>
      </c>
      <c r="F904" s="225">
        <v>2</v>
      </c>
      <c r="G904" s="226">
        <f>D904*E904*F904</f>
        <v>585000</v>
      </c>
      <c r="H904" s="223"/>
      <c r="I904" s="224"/>
      <c r="J904" s="224"/>
      <c r="K904" s="224"/>
      <c r="L904" s="224"/>
      <c r="M904" s="224"/>
      <c r="N904" s="224"/>
      <c r="O904" s="224"/>
      <c r="P904" s="224"/>
    </row>
    <row r="905" spans="1:16" customFormat="1" ht="15" x14ac:dyDescent="0.25">
      <c r="A905" s="66">
        <v>7</v>
      </c>
      <c r="B905" s="72" t="s">
        <v>522</v>
      </c>
      <c r="C905" s="225" t="s">
        <v>523</v>
      </c>
      <c r="D905" s="225">
        <f>D904</f>
        <v>7500</v>
      </c>
      <c r="E905" s="225">
        <v>10</v>
      </c>
      <c r="F905" s="225">
        <v>2</v>
      </c>
      <c r="G905" s="226">
        <f>D905*E905*F905</f>
        <v>150000</v>
      </c>
      <c r="H905" s="223"/>
      <c r="I905" s="224"/>
      <c r="J905" s="224"/>
      <c r="K905" s="224"/>
      <c r="L905" s="224"/>
      <c r="M905" s="224"/>
      <c r="N905" s="224"/>
      <c r="O905" s="224"/>
      <c r="P905" s="224"/>
    </row>
    <row r="906" spans="1:16" customFormat="1" ht="15" x14ac:dyDescent="0.25">
      <c r="A906" s="66">
        <v>8</v>
      </c>
      <c r="B906" s="72" t="s">
        <v>524</v>
      </c>
      <c r="C906" s="225" t="s">
        <v>525</v>
      </c>
      <c r="D906" s="225">
        <f>D905</f>
        <v>7500</v>
      </c>
      <c r="E906" s="225">
        <v>10</v>
      </c>
      <c r="F906" s="225">
        <v>2</v>
      </c>
      <c r="G906" s="226">
        <f>D906*E906*F906</f>
        <v>150000</v>
      </c>
      <c r="H906" s="223"/>
      <c r="I906" s="224"/>
      <c r="J906" s="224"/>
      <c r="K906" s="224"/>
      <c r="L906" s="224"/>
      <c r="M906" s="224"/>
      <c r="N906" s="224"/>
      <c r="O906" s="224"/>
      <c r="P906" s="224"/>
    </row>
    <row r="907" spans="1:16" customFormat="1" ht="15" x14ac:dyDescent="0.25">
      <c r="A907" s="66">
        <v>9</v>
      </c>
      <c r="B907" s="72" t="s">
        <v>526</v>
      </c>
      <c r="C907" s="225" t="s">
        <v>527</v>
      </c>
      <c r="D907" s="225">
        <v>35000</v>
      </c>
      <c r="E907" s="225">
        <v>4</v>
      </c>
      <c r="F907" s="225">
        <v>4</v>
      </c>
      <c r="G907" s="226">
        <f>D907*E907*F907</f>
        <v>560000</v>
      </c>
      <c r="H907" s="224"/>
      <c r="I907" s="224"/>
      <c r="J907" s="224"/>
      <c r="K907" s="224"/>
      <c r="L907" s="224"/>
      <c r="M907" s="224"/>
    </row>
    <row r="908" spans="1:16" customFormat="1" ht="22.5" x14ac:dyDescent="0.25">
      <c r="A908" s="66"/>
      <c r="B908" s="228" t="s">
        <v>528</v>
      </c>
      <c r="C908" s="229" t="s">
        <v>529</v>
      </c>
      <c r="D908" s="229">
        <v>250000</v>
      </c>
      <c r="E908" s="229">
        <v>4</v>
      </c>
      <c r="F908" s="229">
        <v>6</v>
      </c>
      <c r="G908" s="230">
        <f t="shared" ref="G908:G961" si="103">D908*E908*F908</f>
        <v>6000000</v>
      </c>
      <c r="H908" s="224"/>
      <c r="I908" s="224"/>
      <c r="J908" s="224"/>
      <c r="K908" s="224"/>
      <c r="L908" s="224"/>
      <c r="M908" s="224"/>
    </row>
    <row r="909" spans="1:16" customFormat="1" ht="15" x14ac:dyDescent="0.25">
      <c r="A909" s="66"/>
      <c r="B909" s="228"/>
      <c r="C909" s="229" t="s">
        <v>509</v>
      </c>
      <c r="D909" s="229">
        <v>100000</v>
      </c>
      <c r="E909" s="229">
        <v>4</v>
      </c>
      <c r="F909" s="229">
        <v>1</v>
      </c>
      <c r="G909" s="230">
        <f t="shared" si="103"/>
        <v>400000</v>
      </c>
      <c r="H909" s="224"/>
      <c r="I909" s="224"/>
      <c r="J909" s="224"/>
      <c r="K909" s="224"/>
      <c r="L909" s="224"/>
      <c r="M909" s="224"/>
    </row>
    <row r="910" spans="1:16" customFormat="1" ht="15" x14ac:dyDescent="0.25">
      <c r="A910" s="66"/>
      <c r="B910" s="228"/>
      <c r="C910" s="229" t="s">
        <v>530</v>
      </c>
      <c r="D910" s="229">
        <v>250000</v>
      </c>
      <c r="E910" s="229">
        <v>1</v>
      </c>
      <c r="F910" s="229">
        <v>3</v>
      </c>
      <c r="G910" s="230">
        <f t="shared" si="103"/>
        <v>750000</v>
      </c>
      <c r="H910" s="224"/>
      <c r="I910" s="224"/>
      <c r="J910" s="224"/>
      <c r="K910" s="224"/>
      <c r="L910" s="224"/>
      <c r="M910" s="224"/>
    </row>
    <row r="911" spans="1:16" customFormat="1" ht="15" x14ac:dyDescent="0.25">
      <c r="A911" s="66"/>
      <c r="B911" s="228"/>
      <c r="C911" s="229" t="s">
        <v>531</v>
      </c>
      <c r="D911" s="229">
        <f>D909</f>
        <v>100000</v>
      </c>
      <c r="E911" s="229">
        <v>1</v>
      </c>
      <c r="F911" s="229">
        <v>1</v>
      </c>
      <c r="G911" s="230">
        <f t="shared" si="103"/>
        <v>100000</v>
      </c>
      <c r="H911" s="224"/>
      <c r="I911" s="224"/>
      <c r="J911" s="224"/>
      <c r="K911" s="224"/>
      <c r="L911" s="224"/>
      <c r="M911" s="224"/>
    </row>
    <row r="912" spans="1:16" customFormat="1" ht="15" x14ac:dyDescent="0.25">
      <c r="A912" s="66"/>
      <c r="B912" s="228"/>
      <c r="C912" s="229" t="s">
        <v>532</v>
      </c>
      <c r="D912" s="229">
        <f>D911</f>
        <v>100000</v>
      </c>
      <c r="E912" s="229">
        <v>1</v>
      </c>
      <c r="F912" s="229">
        <v>1</v>
      </c>
      <c r="G912" s="230">
        <f t="shared" si="103"/>
        <v>100000</v>
      </c>
      <c r="H912" s="224"/>
      <c r="I912" s="224"/>
      <c r="J912" s="224"/>
      <c r="K912" s="224"/>
      <c r="L912" s="224"/>
      <c r="M912" s="224"/>
    </row>
    <row r="913" spans="1:13" customFormat="1" ht="15" x14ac:dyDescent="0.25">
      <c r="A913" s="66"/>
      <c r="B913" s="228"/>
      <c r="C913" s="229" t="s">
        <v>533</v>
      </c>
      <c r="D913" s="229">
        <v>250000</v>
      </c>
      <c r="E913" s="229">
        <v>1</v>
      </c>
      <c r="F913" s="229">
        <v>1</v>
      </c>
      <c r="G913" s="230">
        <f t="shared" si="103"/>
        <v>250000</v>
      </c>
      <c r="H913" s="224"/>
      <c r="I913" s="224"/>
      <c r="J913" s="224"/>
      <c r="K913" s="224"/>
      <c r="L913" s="224"/>
      <c r="M913" s="224"/>
    </row>
    <row r="914" spans="1:13" customFormat="1" ht="15" x14ac:dyDescent="0.25">
      <c r="A914" s="66"/>
      <c r="B914" s="228"/>
      <c r="C914" s="229" t="s">
        <v>534</v>
      </c>
      <c r="D914" s="229">
        <f>D912</f>
        <v>100000</v>
      </c>
      <c r="E914" s="229">
        <v>2</v>
      </c>
      <c r="F914" s="229">
        <v>1</v>
      </c>
      <c r="G914" s="230">
        <f t="shared" si="103"/>
        <v>200000</v>
      </c>
      <c r="H914" s="224"/>
      <c r="I914" s="224"/>
      <c r="J914" s="224"/>
      <c r="K914" s="224"/>
      <c r="L914" s="224"/>
      <c r="M914" s="224"/>
    </row>
    <row r="915" spans="1:13" customFormat="1" ht="15" x14ac:dyDescent="0.25">
      <c r="A915" s="66"/>
      <c r="B915" s="228"/>
      <c r="C915" s="229" t="s">
        <v>535</v>
      </c>
      <c r="D915" s="229">
        <v>250000</v>
      </c>
      <c r="E915" s="229">
        <v>2</v>
      </c>
      <c r="F915" s="229">
        <v>1</v>
      </c>
      <c r="G915" s="230">
        <f t="shared" si="103"/>
        <v>500000</v>
      </c>
      <c r="H915" s="224"/>
      <c r="I915" s="224"/>
      <c r="J915" s="224"/>
      <c r="K915" s="224"/>
      <c r="L915" s="224"/>
      <c r="M915" s="224"/>
    </row>
    <row r="916" spans="1:13" customFormat="1" ht="15" x14ac:dyDescent="0.25">
      <c r="A916" s="66"/>
      <c r="B916" s="228"/>
      <c r="C916" s="229" t="s">
        <v>536</v>
      </c>
      <c r="D916" s="229">
        <v>1300000</v>
      </c>
      <c r="E916" s="229">
        <v>4</v>
      </c>
      <c r="F916" s="229">
        <v>1</v>
      </c>
      <c r="G916" s="230">
        <f t="shared" si="103"/>
        <v>5200000</v>
      </c>
      <c r="H916" s="224"/>
      <c r="I916" s="224"/>
      <c r="J916" s="224"/>
      <c r="K916" s="224"/>
      <c r="L916" s="224"/>
      <c r="M916" s="224"/>
    </row>
    <row r="917" spans="1:13" customFormat="1" ht="15" x14ac:dyDescent="0.25">
      <c r="A917" s="60"/>
      <c r="B917" s="228"/>
      <c r="C917" s="229" t="s">
        <v>537</v>
      </c>
      <c r="D917" s="229">
        <f>7500</f>
        <v>7500</v>
      </c>
      <c r="E917" s="229">
        <v>33</v>
      </c>
      <c r="F917" s="229">
        <v>2</v>
      </c>
      <c r="G917" s="230">
        <f t="shared" si="103"/>
        <v>495000</v>
      </c>
      <c r="H917" s="224"/>
      <c r="I917" s="224"/>
      <c r="J917" s="224"/>
      <c r="K917" s="224"/>
      <c r="L917" s="224"/>
      <c r="M917" s="224"/>
    </row>
    <row r="918" spans="1:13" customFormat="1" ht="15" x14ac:dyDescent="0.25">
      <c r="A918" s="60"/>
      <c r="B918" s="228"/>
      <c r="C918" s="229" t="s">
        <v>538</v>
      </c>
      <c r="D918" s="229">
        <f>7500</f>
        <v>7500</v>
      </c>
      <c r="E918" s="229">
        <v>10</v>
      </c>
      <c r="F918" s="229">
        <v>2</v>
      </c>
      <c r="G918" s="230">
        <f t="shared" si="103"/>
        <v>150000</v>
      </c>
      <c r="H918" s="224"/>
      <c r="I918" s="224"/>
      <c r="J918" s="224"/>
      <c r="K918" s="224"/>
      <c r="L918" s="224"/>
      <c r="M918" s="224"/>
    </row>
    <row r="919" spans="1:13" customFormat="1" ht="15" x14ac:dyDescent="0.25">
      <c r="A919" s="60"/>
      <c r="B919" s="228"/>
      <c r="C919" s="229" t="s">
        <v>539</v>
      </c>
      <c r="D919" s="229">
        <f>7500</f>
        <v>7500</v>
      </c>
      <c r="E919" s="229">
        <v>10</v>
      </c>
      <c r="F919" s="229">
        <v>2</v>
      </c>
      <c r="G919" s="230">
        <f t="shared" si="103"/>
        <v>150000</v>
      </c>
      <c r="H919" s="224"/>
      <c r="I919" s="224"/>
      <c r="J919" s="224"/>
      <c r="K919" s="224"/>
      <c r="L919" s="224"/>
      <c r="M919" s="224"/>
    </row>
    <row r="920" spans="1:13" customFormat="1" ht="15" x14ac:dyDescent="0.25">
      <c r="A920" s="60"/>
      <c r="B920" s="57"/>
      <c r="C920" s="229" t="s">
        <v>540</v>
      </c>
      <c r="D920" s="229">
        <v>7500</v>
      </c>
      <c r="E920" s="229">
        <v>10</v>
      </c>
      <c r="F920" s="229">
        <v>4</v>
      </c>
      <c r="G920" s="230">
        <f t="shared" si="103"/>
        <v>300000</v>
      </c>
      <c r="H920" s="224"/>
      <c r="I920" s="224"/>
      <c r="J920" s="224"/>
      <c r="K920" s="224"/>
      <c r="L920" s="224"/>
      <c r="M920" s="224"/>
    </row>
    <row r="921" spans="1:13" customFormat="1" ht="15" x14ac:dyDescent="0.25">
      <c r="A921" s="60"/>
      <c r="B921" s="72"/>
      <c r="C921" s="229" t="s">
        <v>527</v>
      </c>
      <c r="D921" s="229">
        <v>35000</v>
      </c>
      <c r="E921" s="229">
        <v>4</v>
      </c>
      <c r="F921" s="229">
        <v>4</v>
      </c>
      <c r="G921" s="230">
        <f t="shared" si="103"/>
        <v>560000</v>
      </c>
      <c r="H921" s="224"/>
      <c r="I921" s="224"/>
      <c r="J921" s="224"/>
      <c r="K921" s="224"/>
      <c r="L921" s="224"/>
      <c r="M921" s="224"/>
    </row>
    <row r="922" spans="1:13" customFormat="1" ht="15" x14ac:dyDescent="0.25">
      <c r="A922" s="60"/>
      <c r="B922" s="71"/>
      <c r="C922" s="231" t="s">
        <v>541</v>
      </c>
      <c r="D922" s="231">
        <v>250000</v>
      </c>
      <c r="E922" s="231">
        <v>4</v>
      </c>
      <c r="F922" s="231">
        <v>5</v>
      </c>
      <c r="G922" s="232">
        <f t="shared" si="103"/>
        <v>5000000</v>
      </c>
      <c r="H922" s="224"/>
      <c r="I922" s="224"/>
      <c r="J922" s="224"/>
      <c r="K922" s="224"/>
      <c r="L922" s="224"/>
      <c r="M922" s="224"/>
    </row>
    <row r="923" spans="1:13" customFormat="1" ht="15" x14ac:dyDescent="0.25">
      <c r="A923" s="60"/>
      <c r="B923" s="71"/>
      <c r="C923" s="231" t="s">
        <v>509</v>
      </c>
      <c r="D923" s="231">
        <v>100000</v>
      </c>
      <c r="E923" s="231">
        <v>4</v>
      </c>
      <c r="F923" s="231">
        <v>1</v>
      </c>
      <c r="G923" s="232">
        <f t="shared" si="103"/>
        <v>400000</v>
      </c>
      <c r="H923" s="224"/>
      <c r="I923" s="224"/>
      <c r="J923" s="224"/>
      <c r="K923" s="224"/>
      <c r="L923" s="224"/>
      <c r="M923" s="224"/>
    </row>
    <row r="924" spans="1:13" customFormat="1" ht="15" x14ac:dyDescent="0.25">
      <c r="A924" s="60"/>
      <c r="B924" s="71"/>
      <c r="C924" s="231" t="s">
        <v>542</v>
      </c>
      <c r="D924" s="231">
        <v>250000</v>
      </c>
      <c r="E924" s="231">
        <v>1</v>
      </c>
      <c r="F924" s="231">
        <v>2</v>
      </c>
      <c r="G924" s="232">
        <f t="shared" si="103"/>
        <v>500000</v>
      </c>
      <c r="H924" s="224"/>
      <c r="I924" s="224"/>
      <c r="J924" s="224"/>
      <c r="K924" s="224"/>
      <c r="L924" s="224"/>
      <c r="M924" s="224"/>
    </row>
    <row r="925" spans="1:13" customFormat="1" ht="15" x14ac:dyDescent="0.25">
      <c r="A925" s="60"/>
      <c r="B925" s="71"/>
      <c r="C925" s="231" t="s">
        <v>543</v>
      </c>
      <c r="D925" s="231">
        <v>100000</v>
      </c>
      <c r="E925" s="231">
        <v>1</v>
      </c>
      <c r="F925" s="231">
        <v>1</v>
      </c>
      <c r="G925" s="232">
        <f t="shared" si="103"/>
        <v>100000</v>
      </c>
      <c r="H925" s="224"/>
      <c r="I925" s="224"/>
      <c r="J925" s="224"/>
      <c r="K925" s="224"/>
      <c r="L925" s="224"/>
      <c r="M925" s="224"/>
    </row>
    <row r="926" spans="1:13" customFormat="1" ht="15" x14ac:dyDescent="0.25">
      <c r="A926" s="60"/>
      <c r="B926" s="71"/>
      <c r="C926" s="231" t="s">
        <v>544</v>
      </c>
      <c r="D926" s="231">
        <v>1200000</v>
      </c>
      <c r="E926" s="231">
        <v>4</v>
      </c>
      <c r="F926" s="231">
        <v>1</v>
      </c>
      <c r="G926" s="232">
        <f t="shared" si="103"/>
        <v>4800000</v>
      </c>
      <c r="H926" s="224"/>
      <c r="I926" s="224"/>
      <c r="J926" s="224"/>
      <c r="K926" s="224"/>
      <c r="L926" s="224"/>
      <c r="M926" s="224"/>
    </row>
    <row r="927" spans="1:13" customFormat="1" ht="15" x14ac:dyDescent="0.25">
      <c r="A927" s="60"/>
      <c r="B927" s="71"/>
      <c r="C927" s="231" t="s">
        <v>545</v>
      </c>
      <c r="D927" s="231">
        <v>7500</v>
      </c>
      <c r="E927" s="231">
        <v>20</v>
      </c>
      <c r="F927" s="231">
        <v>2</v>
      </c>
      <c r="G927" s="232">
        <f t="shared" si="103"/>
        <v>300000</v>
      </c>
      <c r="H927" s="224"/>
      <c r="I927" s="224"/>
      <c r="J927" s="224"/>
      <c r="K927" s="224"/>
      <c r="L927" s="224"/>
      <c r="M927" s="224"/>
    </row>
    <row r="928" spans="1:13" customFormat="1" ht="15" x14ac:dyDescent="0.25">
      <c r="A928" s="60"/>
      <c r="B928" s="71"/>
      <c r="C928" s="231" t="s">
        <v>546</v>
      </c>
      <c r="D928" s="231">
        <f>D927</f>
        <v>7500</v>
      </c>
      <c r="E928" s="231">
        <v>10</v>
      </c>
      <c r="F928" s="231">
        <v>2</v>
      </c>
      <c r="G928" s="232">
        <f t="shared" si="103"/>
        <v>150000</v>
      </c>
      <c r="H928" s="224"/>
      <c r="I928" s="224"/>
      <c r="J928" s="224"/>
      <c r="K928" s="224"/>
      <c r="L928" s="224"/>
      <c r="M928" s="224"/>
    </row>
    <row r="929" spans="1:13" customFormat="1" ht="15" x14ac:dyDescent="0.25">
      <c r="A929" s="60"/>
      <c r="B929" s="71"/>
      <c r="C929" s="231" t="s">
        <v>527</v>
      </c>
      <c r="D929" s="231">
        <v>35000</v>
      </c>
      <c r="E929" s="231">
        <v>4</v>
      </c>
      <c r="F929" s="231">
        <v>4</v>
      </c>
      <c r="G929" s="232">
        <f t="shared" si="103"/>
        <v>560000</v>
      </c>
      <c r="H929" s="224"/>
      <c r="I929" s="224"/>
      <c r="J929" s="224"/>
      <c r="K929" s="224"/>
      <c r="L929" s="224"/>
      <c r="M929" s="224"/>
    </row>
    <row r="930" spans="1:13" customFormat="1" ht="15" x14ac:dyDescent="0.25">
      <c r="A930" s="60"/>
      <c r="B930" s="71"/>
      <c r="C930" s="233" t="s">
        <v>547</v>
      </c>
      <c r="D930" s="233">
        <v>250000</v>
      </c>
      <c r="E930" s="233">
        <v>4</v>
      </c>
      <c r="F930" s="233">
        <v>6</v>
      </c>
      <c r="G930" s="234">
        <f t="shared" si="103"/>
        <v>6000000</v>
      </c>
      <c r="H930" s="224"/>
      <c r="I930" s="224"/>
      <c r="J930" s="224"/>
      <c r="K930" s="224"/>
      <c r="L930" s="224"/>
      <c r="M930" s="224"/>
    </row>
    <row r="931" spans="1:13" customFormat="1" ht="15" x14ac:dyDescent="0.25">
      <c r="A931" s="60"/>
      <c r="B931" s="71"/>
      <c r="C931" s="233" t="s">
        <v>509</v>
      </c>
      <c r="D931" s="233">
        <v>100000</v>
      </c>
      <c r="E931" s="233">
        <v>4</v>
      </c>
      <c r="F931" s="233">
        <v>1</v>
      </c>
      <c r="G931" s="234">
        <f t="shared" si="103"/>
        <v>400000</v>
      </c>
      <c r="H931" s="224"/>
      <c r="I931" s="224"/>
      <c r="J931" s="224"/>
      <c r="K931" s="224"/>
      <c r="L931" s="224"/>
      <c r="M931" s="224"/>
    </row>
    <row r="932" spans="1:13" customFormat="1" ht="15" x14ac:dyDescent="0.25">
      <c r="A932" s="60"/>
      <c r="B932" s="71"/>
      <c r="C932" s="233" t="s">
        <v>548</v>
      </c>
      <c r="D932" s="233">
        <v>250000</v>
      </c>
      <c r="E932" s="233">
        <v>1</v>
      </c>
      <c r="F932" s="233">
        <v>3</v>
      </c>
      <c r="G932" s="234">
        <f t="shared" si="103"/>
        <v>750000</v>
      </c>
      <c r="H932" s="224"/>
      <c r="I932" s="224"/>
      <c r="J932" s="224"/>
      <c r="K932" s="224"/>
      <c r="L932" s="224"/>
      <c r="M932" s="224"/>
    </row>
    <row r="933" spans="1:13" customFormat="1" ht="15" x14ac:dyDescent="0.25">
      <c r="A933" s="60"/>
      <c r="B933" s="71"/>
      <c r="C933" s="233" t="s">
        <v>549</v>
      </c>
      <c r="D933" s="233">
        <v>100000</v>
      </c>
      <c r="E933" s="233">
        <v>1</v>
      </c>
      <c r="F933" s="233">
        <v>1</v>
      </c>
      <c r="G933" s="234">
        <f t="shared" si="103"/>
        <v>100000</v>
      </c>
      <c r="H933" s="224"/>
      <c r="I933" s="224"/>
      <c r="J933" s="224"/>
      <c r="K933" s="224"/>
      <c r="L933" s="224"/>
      <c r="M933" s="224"/>
    </row>
    <row r="934" spans="1:13" customFormat="1" ht="15" x14ac:dyDescent="0.25">
      <c r="A934" s="60"/>
      <c r="B934" s="71"/>
      <c r="C934" s="233" t="s">
        <v>550</v>
      </c>
      <c r="D934" s="233">
        <v>1100000</v>
      </c>
      <c r="E934" s="233">
        <v>4</v>
      </c>
      <c r="F934" s="233">
        <v>1</v>
      </c>
      <c r="G934" s="234">
        <f t="shared" si="103"/>
        <v>4400000</v>
      </c>
      <c r="H934" s="224"/>
      <c r="I934" s="224"/>
      <c r="J934" s="224"/>
      <c r="K934" s="224"/>
      <c r="L934" s="224"/>
      <c r="M934" s="224"/>
    </row>
    <row r="935" spans="1:13" customFormat="1" ht="15" x14ac:dyDescent="0.25">
      <c r="A935" s="60"/>
      <c r="B935" s="71"/>
      <c r="C935" s="233" t="s">
        <v>551</v>
      </c>
      <c r="D935" s="233">
        <v>7500</v>
      </c>
      <c r="E935" s="233">
        <v>42</v>
      </c>
      <c r="F935" s="233">
        <v>2</v>
      </c>
      <c r="G935" s="234">
        <f t="shared" si="103"/>
        <v>630000</v>
      </c>
      <c r="H935" s="224"/>
      <c r="I935" s="224"/>
      <c r="J935" s="224"/>
      <c r="K935" s="224"/>
      <c r="L935" s="224"/>
      <c r="M935" s="224"/>
    </row>
    <row r="936" spans="1:13" customFormat="1" ht="15" x14ac:dyDescent="0.25">
      <c r="A936" s="60"/>
      <c r="B936" s="71"/>
      <c r="C936" s="233" t="s">
        <v>552</v>
      </c>
      <c r="D936" s="233">
        <f>D935</f>
        <v>7500</v>
      </c>
      <c r="E936" s="233">
        <v>10</v>
      </c>
      <c r="F936" s="233">
        <v>2</v>
      </c>
      <c r="G936" s="234">
        <f t="shared" si="103"/>
        <v>150000</v>
      </c>
      <c r="H936" s="224"/>
      <c r="I936" s="224"/>
      <c r="J936" s="224"/>
      <c r="K936" s="224"/>
      <c r="L936" s="224"/>
      <c r="M936" s="224"/>
    </row>
    <row r="937" spans="1:13" customFormat="1" ht="15" x14ac:dyDescent="0.25">
      <c r="A937" s="60"/>
      <c r="B937" s="71"/>
      <c r="C937" s="233" t="s">
        <v>527</v>
      </c>
      <c r="D937" s="233">
        <v>35000</v>
      </c>
      <c r="E937" s="233">
        <v>4</v>
      </c>
      <c r="F937" s="233">
        <v>4</v>
      </c>
      <c r="G937" s="234">
        <f t="shared" si="103"/>
        <v>560000</v>
      </c>
      <c r="H937" s="224"/>
      <c r="I937" s="224"/>
      <c r="J937" s="224"/>
      <c r="K937" s="224"/>
      <c r="L937" s="224"/>
      <c r="M937" s="224"/>
    </row>
    <row r="938" spans="1:13" customFormat="1" ht="15" x14ac:dyDescent="0.25">
      <c r="A938" s="60"/>
      <c r="B938" s="71"/>
      <c r="C938" s="231" t="s">
        <v>553</v>
      </c>
      <c r="D938" s="231">
        <v>250000</v>
      </c>
      <c r="E938" s="231">
        <v>5</v>
      </c>
      <c r="F938" s="231">
        <v>4</v>
      </c>
      <c r="G938" s="232">
        <f t="shared" si="103"/>
        <v>5000000</v>
      </c>
      <c r="H938" s="224"/>
      <c r="I938" s="224"/>
      <c r="J938" s="224"/>
      <c r="K938" s="224"/>
      <c r="L938" s="224"/>
      <c r="M938" s="224"/>
    </row>
    <row r="939" spans="1:13" customFormat="1" ht="15" x14ac:dyDescent="0.25">
      <c r="A939" s="60"/>
      <c r="B939" s="71"/>
      <c r="C939" s="231" t="s">
        <v>509</v>
      </c>
      <c r="D939" s="231">
        <f>D933</f>
        <v>100000</v>
      </c>
      <c r="E939" s="231">
        <v>5</v>
      </c>
      <c r="F939" s="231">
        <v>1</v>
      </c>
      <c r="G939" s="232">
        <f t="shared" si="103"/>
        <v>500000</v>
      </c>
      <c r="H939" s="224"/>
      <c r="I939" s="224"/>
      <c r="J939" s="224"/>
      <c r="K939" s="224"/>
      <c r="L939" s="224"/>
      <c r="M939" s="224"/>
    </row>
    <row r="940" spans="1:13" customFormat="1" ht="15" x14ac:dyDescent="0.25">
      <c r="A940" s="60"/>
      <c r="B940" s="71"/>
      <c r="C940" s="231" t="s">
        <v>554</v>
      </c>
      <c r="D940" s="231">
        <v>7500</v>
      </c>
      <c r="E940" s="231">
        <f>450/6</f>
        <v>75</v>
      </c>
      <c r="F940" s="231">
        <v>2</v>
      </c>
      <c r="G940" s="232">
        <f t="shared" si="103"/>
        <v>1125000</v>
      </c>
      <c r="H940" s="224"/>
      <c r="I940" s="224"/>
      <c r="J940" s="224"/>
      <c r="K940" s="224"/>
      <c r="L940" s="224"/>
      <c r="M940" s="224"/>
    </row>
    <row r="941" spans="1:13" customFormat="1" ht="15" x14ac:dyDescent="0.25">
      <c r="A941" s="60"/>
      <c r="B941" s="71"/>
      <c r="C941" s="231" t="s">
        <v>555</v>
      </c>
      <c r="D941" s="231">
        <f>D940</f>
        <v>7500</v>
      </c>
      <c r="E941" s="231">
        <f>E936</f>
        <v>10</v>
      </c>
      <c r="F941" s="231">
        <v>2</v>
      </c>
      <c r="G941" s="232">
        <f t="shared" si="103"/>
        <v>150000</v>
      </c>
      <c r="H941" s="224"/>
      <c r="I941" s="224"/>
      <c r="J941" s="224"/>
      <c r="K941" s="224"/>
      <c r="L941" s="224"/>
      <c r="M941" s="224"/>
    </row>
    <row r="942" spans="1:13" customFormat="1" ht="15" x14ac:dyDescent="0.25">
      <c r="A942" s="60"/>
      <c r="B942" s="71"/>
      <c r="C942" s="225" t="s">
        <v>556</v>
      </c>
      <c r="D942" s="225">
        <v>250000</v>
      </c>
      <c r="E942" s="225">
        <v>5</v>
      </c>
      <c r="F942" s="225">
        <v>6</v>
      </c>
      <c r="G942" s="226">
        <f t="shared" si="103"/>
        <v>7500000</v>
      </c>
      <c r="H942" s="224"/>
      <c r="I942" s="224"/>
      <c r="J942" s="224"/>
      <c r="K942" s="224"/>
      <c r="L942" s="224"/>
      <c r="M942" s="224"/>
    </row>
    <row r="943" spans="1:13" customFormat="1" ht="15" x14ac:dyDescent="0.25">
      <c r="A943" s="60"/>
      <c r="B943" s="71"/>
      <c r="C943" s="225" t="s">
        <v>509</v>
      </c>
      <c r="D943" s="225">
        <v>100000</v>
      </c>
      <c r="E943" s="225">
        <v>5</v>
      </c>
      <c r="F943" s="225">
        <v>1</v>
      </c>
      <c r="G943" s="226">
        <f t="shared" si="103"/>
        <v>500000</v>
      </c>
      <c r="H943" s="224"/>
      <c r="I943" s="224"/>
      <c r="J943" s="224"/>
      <c r="K943" s="224"/>
      <c r="L943" s="224"/>
      <c r="M943" s="224"/>
    </row>
    <row r="944" spans="1:13" customFormat="1" ht="15" x14ac:dyDescent="0.25">
      <c r="A944" s="60"/>
      <c r="B944" s="71"/>
      <c r="C944" s="225" t="s">
        <v>557</v>
      </c>
      <c r="D944" s="225">
        <v>7500</v>
      </c>
      <c r="E944" s="225">
        <v>59</v>
      </c>
      <c r="F944" s="225">
        <v>2</v>
      </c>
      <c r="G944" s="226">
        <f t="shared" si="103"/>
        <v>885000</v>
      </c>
      <c r="H944" s="224"/>
      <c r="I944" s="224"/>
      <c r="J944" s="224"/>
      <c r="K944" s="224"/>
      <c r="L944" s="224"/>
      <c r="M944" s="224"/>
    </row>
    <row r="945" spans="1:13" customFormat="1" ht="15" x14ac:dyDescent="0.25">
      <c r="A945" s="60"/>
      <c r="B945" s="71"/>
      <c r="C945" s="225" t="s">
        <v>558</v>
      </c>
      <c r="D945" s="225">
        <f>D944</f>
        <v>7500</v>
      </c>
      <c r="E945" s="225">
        <v>10</v>
      </c>
      <c r="F945" s="225">
        <v>2</v>
      </c>
      <c r="G945" s="226">
        <f t="shared" si="103"/>
        <v>150000</v>
      </c>
      <c r="H945" s="224"/>
      <c r="I945" s="224"/>
      <c r="J945" s="224"/>
      <c r="K945" s="224"/>
      <c r="L945" s="224"/>
      <c r="M945" s="224"/>
    </row>
    <row r="946" spans="1:13" customFormat="1" ht="15" x14ac:dyDescent="0.25">
      <c r="A946" s="60"/>
      <c r="B946" s="71"/>
      <c r="C946" s="231" t="s">
        <v>559</v>
      </c>
      <c r="D946" s="231">
        <v>250000</v>
      </c>
      <c r="E946" s="231">
        <v>5</v>
      </c>
      <c r="F946" s="231">
        <v>6</v>
      </c>
      <c r="G946" s="232">
        <f t="shared" si="103"/>
        <v>7500000</v>
      </c>
      <c r="H946" s="224"/>
      <c r="I946" s="224"/>
      <c r="J946" s="224"/>
      <c r="K946" s="224"/>
      <c r="L946" s="224"/>
      <c r="M946" s="224"/>
    </row>
    <row r="947" spans="1:13" customFormat="1" ht="15" x14ac:dyDescent="0.25">
      <c r="A947" s="60"/>
      <c r="B947" s="71"/>
      <c r="C947" s="231" t="s">
        <v>509</v>
      </c>
      <c r="D947" s="231">
        <v>100000</v>
      </c>
      <c r="E947" s="231">
        <v>5</v>
      </c>
      <c r="F947" s="231">
        <v>1</v>
      </c>
      <c r="G947" s="232">
        <f t="shared" si="103"/>
        <v>500000</v>
      </c>
      <c r="H947" s="224"/>
      <c r="I947" s="224"/>
      <c r="J947" s="224"/>
      <c r="K947" s="224"/>
      <c r="L947" s="224"/>
      <c r="M947" s="224"/>
    </row>
    <row r="948" spans="1:13" customFormat="1" ht="15" x14ac:dyDescent="0.25">
      <c r="A948" s="60"/>
      <c r="B948" s="71"/>
      <c r="C948" s="231" t="s">
        <v>560</v>
      </c>
      <c r="D948" s="231">
        <v>7500</v>
      </c>
      <c r="E948" s="231">
        <v>102</v>
      </c>
      <c r="F948" s="231">
        <v>2</v>
      </c>
      <c r="G948" s="232">
        <f t="shared" si="103"/>
        <v>1530000</v>
      </c>
      <c r="H948" s="224"/>
      <c r="I948" s="224"/>
      <c r="J948" s="224"/>
      <c r="K948" s="224"/>
      <c r="L948" s="224"/>
      <c r="M948" s="224"/>
    </row>
    <row r="949" spans="1:13" customFormat="1" ht="15" x14ac:dyDescent="0.25">
      <c r="A949" s="60"/>
      <c r="B949" s="71"/>
      <c r="C949" s="231" t="s">
        <v>561</v>
      </c>
      <c r="D949" s="231">
        <f>D948</f>
        <v>7500</v>
      </c>
      <c r="E949" s="231">
        <v>10</v>
      </c>
      <c r="F949" s="231">
        <v>2</v>
      </c>
      <c r="G949" s="232">
        <f t="shared" si="103"/>
        <v>150000</v>
      </c>
      <c r="H949" s="224"/>
      <c r="I949" s="224"/>
      <c r="J949" s="224"/>
      <c r="K949" s="224"/>
      <c r="L949" s="224"/>
      <c r="M949" s="224"/>
    </row>
    <row r="950" spans="1:13" customFormat="1" ht="15" x14ac:dyDescent="0.25">
      <c r="A950" s="60"/>
      <c r="B950" s="71"/>
      <c r="C950" s="235" t="s">
        <v>562</v>
      </c>
      <c r="D950" s="235">
        <v>250000</v>
      </c>
      <c r="E950" s="235">
        <v>4</v>
      </c>
      <c r="F950" s="235">
        <v>5</v>
      </c>
      <c r="G950" s="236">
        <f>D950*E950*F950</f>
        <v>5000000</v>
      </c>
      <c r="H950" s="224"/>
      <c r="I950" s="224"/>
      <c r="J950" s="224"/>
      <c r="K950" s="224"/>
      <c r="L950" s="224"/>
      <c r="M950" s="224"/>
    </row>
    <row r="951" spans="1:13" customFormat="1" ht="15" x14ac:dyDescent="0.25">
      <c r="A951" s="60"/>
      <c r="B951" s="71"/>
      <c r="C951" s="235" t="s">
        <v>509</v>
      </c>
      <c r="D951" s="235">
        <f>D947</f>
        <v>100000</v>
      </c>
      <c r="E951" s="235">
        <v>4</v>
      </c>
      <c r="F951" s="235">
        <v>1</v>
      </c>
      <c r="G951" s="236">
        <f t="shared" si="103"/>
        <v>400000</v>
      </c>
      <c r="H951" s="224"/>
      <c r="I951" s="224"/>
      <c r="J951" s="224"/>
      <c r="K951" s="224"/>
      <c r="L951" s="224"/>
      <c r="M951" s="224"/>
    </row>
    <row r="952" spans="1:13" customFormat="1" ht="15" x14ac:dyDescent="0.25">
      <c r="A952" s="60"/>
      <c r="B952" s="71"/>
      <c r="C952" s="235" t="s">
        <v>563</v>
      </c>
      <c r="D952" s="235">
        <v>250000</v>
      </c>
      <c r="E952" s="235">
        <v>1</v>
      </c>
      <c r="F952" s="235">
        <v>3</v>
      </c>
      <c r="G952" s="236">
        <f t="shared" si="103"/>
        <v>750000</v>
      </c>
      <c r="H952" s="224"/>
      <c r="I952" s="224"/>
      <c r="J952" s="224"/>
      <c r="K952" s="224"/>
      <c r="L952" s="224"/>
      <c r="M952" s="224"/>
    </row>
    <row r="953" spans="1:13" customFormat="1" ht="15" x14ac:dyDescent="0.25">
      <c r="A953" s="60"/>
      <c r="B953" s="71"/>
      <c r="C953" s="235" t="s">
        <v>564</v>
      </c>
      <c r="D953" s="235">
        <f>D951</f>
        <v>100000</v>
      </c>
      <c r="E953" s="235">
        <v>1</v>
      </c>
      <c r="F953" s="235">
        <v>1</v>
      </c>
      <c r="G953" s="236">
        <f t="shared" si="103"/>
        <v>100000</v>
      </c>
      <c r="H953" s="224"/>
      <c r="I953" s="224"/>
      <c r="J953" s="224"/>
      <c r="K953" s="224"/>
      <c r="L953" s="224"/>
      <c r="M953" s="224"/>
    </row>
    <row r="954" spans="1:13" customFormat="1" ht="15" x14ac:dyDescent="0.25">
      <c r="A954" s="60"/>
      <c r="B954" s="71"/>
      <c r="C954" s="235" t="s">
        <v>565</v>
      </c>
      <c r="D954" s="235">
        <v>1390000</v>
      </c>
      <c r="E954" s="235">
        <v>4</v>
      </c>
      <c r="F954" s="235">
        <v>1</v>
      </c>
      <c r="G954" s="236">
        <f t="shared" si="103"/>
        <v>5560000</v>
      </c>
      <c r="H954" s="224"/>
      <c r="I954" s="224"/>
      <c r="J954" s="224"/>
      <c r="K954" s="224"/>
      <c r="L954" s="224"/>
      <c r="M954" s="224"/>
    </row>
    <row r="955" spans="1:13" customFormat="1" ht="15" x14ac:dyDescent="0.25">
      <c r="A955" s="60"/>
      <c r="B955" s="71"/>
      <c r="C955" s="235" t="s">
        <v>566</v>
      </c>
      <c r="D955" s="235">
        <v>7500</v>
      </c>
      <c r="E955" s="235">
        <v>21</v>
      </c>
      <c r="F955" s="235">
        <v>2</v>
      </c>
      <c r="G955" s="236">
        <f t="shared" si="103"/>
        <v>315000</v>
      </c>
      <c r="H955" s="224"/>
      <c r="I955" s="224"/>
      <c r="J955" s="224"/>
      <c r="K955" s="224"/>
      <c r="L955" s="224"/>
      <c r="M955" s="224"/>
    </row>
    <row r="956" spans="1:13" customFormat="1" ht="15" x14ac:dyDescent="0.25">
      <c r="A956" s="60"/>
      <c r="B956" s="71"/>
      <c r="C956" s="235" t="s">
        <v>567</v>
      </c>
      <c r="D956" s="235">
        <f>D955</f>
        <v>7500</v>
      </c>
      <c r="E956" s="235">
        <v>10</v>
      </c>
      <c r="F956" s="237">
        <v>2</v>
      </c>
      <c r="G956" s="236">
        <f t="shared" si="103"/>
        <v>150000</v>
      </c>
      <c r="H956" s="224"/>
      <c r="I956" s="224"/>
      <c r="J956" s="224"/>
      <c r="K956" s="224"/>
      <c r="L956" s="224"/>
      <c r="M956" s="224"/>
    </row>
    <row r="957" spans="1:13" customFormat="1" ht="15" x14ac:dyDescent="0.25">
      <c r="A957" s="60"/>
      <c r="B957" s="71"/>
      <c r="C957" s="235" t="s">
        <v>527</v>
      </c>
      <c r="D957" s="235">
        <v>35000</v>
      </c>
      <c r="E957" s="235">
        <v>4</v>
      </c>
      <c r="F957" s="235">
        <v>4</v>
      </c>
      <c r="G957" s="236">
        <f t="shared" si="103"/>
        <v>560000</v>
      </c>
      <c r="H957" s="224"/>
      <c r="I957" s="224"/>
      <c r="J957" s="224"/>
      <c r="K957" s="224"/>
      <c r="L957" s="224"/>
      <c r="M957" s="224"/>
    </row>
    <row r="958" spans="1:13" customFormat="1" ht="15" x14ac:dyDescent="0.25">
      <c r="A958" s="60"/>
      <c r="B958" s="71"/>
      <c r="C958" s="231" t="s">
        <v>568</v>
      </c>
      <c r="D958" s="231">
        <v>250000</v>
      </c>
      <c r="E958" s="231">
        <v>5</v>
      </c>
      <c r="F958" s="231">
        <v>4</v>
      </c>
      <c r="G958" s="232">
        <f t="shared" si="103"/>
        <v>5000000</v>
      </c>
      <c r="H958" s="224"/>
      <c r="I958" s="224"/>
      <c r="J958" s="224"/>
      <c r="K958" s="224"/>
      <c r="L958" s="224"/>
      <c r="M958" s="224"/>
    </row>
    <row r="959" spans="1:13" customFormat="1" ht="15" x14ac:dyDescent="0.25">
      <c r="A959" s="60"/>
      <c r="B959" s="71"/>
      <c r="C959" s="231" t="s">
        <v>509</v>
      </c>
      <c r="D959" s="231">
        <v>100000</v>
      </c>
      <c r="E959" s="231">
        <v>5</v>
      </c>
      <c r="F959" s="231">
        <v>1</v>
      </c>
      <c r="G959" s="232">
        <f t="shared" si="103"/>
        <v>500000</v>
      </c>
      <c r="H959" s="224"/>
      <c r="I959" s="224"/>
      <c r="J959" s="224"/>
      <c r="K959" s="224"/>
      <c r="L959" s="224"/>
      <c r="M959" s="224"/>
    </row>
    <row r="960" spans="1:13" customFormat="1" ht="15" x14ac:dyDescent="0.25">
      <c r="A960" s="60"/>
      <c r="B960" s="71"/>
      <c r="C960" s="231" t="s">
        <v>569</v>
      </c>
      <c r="D960" s="231">
        <v>7500</v>
      </c>
      <c r="E960" s="231">
        <v>21</v>
      </c>
      <c r="F960" s="231">
        <v>2</v>
      </c>
      <c r="G960" s="232">
        <f t="shared" si="103"/>
        <v>315000</v>
      </c>
      <c r="H960" s="224"/>
      <c r="I960" s="224"/>
      <c r="J960" s="224"/>
      <c r="K960" s="224"/>
      <c r="L960" s="224"/>
      <c r="M960" s="224"/>
    </row>
    <row r="961" spans="1:16" customFormat="1" ht="15" x14ac:dyDescent="0.25">
      <c r="A961" s="60"/>
      <c r="B961" s="71"/>
      <c r="C961" s="231" t="s">
        <v>570</v>
      </c>
      <c r="D961" s="231">
        <f>D960</f>
        <v>7500</v>
      </c>
      <c r="E961" s="231">
        <v>10</v>
      </c>
      <c r="F961" s="231">
        <v>2</v>
      </c>
      <c r="G961" s="232">
        <f t="shared" si="103"/>
        <v>150000</v>
      </c>
      <c r="H961" s="224"/>
      <c r="I961" s="224"/>
      <c r="J961" s="224"/>
      <c r="K961" s="224"/>
      <c r="L961" s="224"/>
      <c r="M961" s="224"/>
    </row>
    <row r="962" spans="1:16" customFormat="1" ht="15" x14ac:dyDescent="0.25">
      <c r="A962" s="66"/>
      <c r="B962" s="63"/>
      <c r="C962" s="72" t="s">
        <v>571</v>
      </c>
      <c r="D962" s="72"/>
      <c r="E962" s="72"/>
      <c r="F962" s="72"/>
      <c r="G962" s="238">
        <f>SUM(G897:G961)</f>
        <v>100690000</v>
      </c>
      <c r="H962" s="239">
        <f>G962/8136</f>
        <v>12375.860373647984</v>
      </c>
      <c r="I962" s="224"/>
      <c r="J962" s="224"/>
      <c r="K962" s="224"/>
      <c r="L962" s="224"/>
      <c r="M962" s="224"/>
    </row>
    <row r="963" spans="1:16" customFormat="1" ht="15" x14ac:dyDescent="0.25">
      <c r="A963" s="66"/>
      <c r="B963" s="63"/>
      <c r="C963" s="63"/>
      <c r="D963" s="63"/>
      <c r="E963" s="63"/>
      <c r="F963" s="63"/>
      <c r="G963" s="64"/>
      <c r="H963" s="223"/>
      <c r="I963" s="224"/>
      <c r="J963" s="224"/>
      <c r="K963" s="224"/>
      <c r="L963" s="224"/>
      <c r="M963" s="224"/>
      <c r="N963" s="224"/>
      <c r="O963" s="224"/>
      <c r="P963" s="224"/>
    </row>
    <row r="964" spans="1:16" customFormat="1" ht="15.75" thickBot="1" x14ac:dyDescent="0.3">
      <c r="A964" s="213"/>
      <c r="B964" s="214"/>
      <c r="C964" s="240"/>
      <c r="D964" s="241"/>
      <c r="E964" s="242"/>
      <c r="F964" s="241"/>
      <c r="G964" s="217"/>
      <c r="H964" s="55"/>
      <c r="I964" s="224"/>
      <c r="J964" s="224"/>
      <c r="K964" s="224"/>
      <c r="L964" s="224"/>
      <c r="M964" s="224"/>
      <c r="N964" s="224"/>
      <c r="O964" s="224"/>
      <c r="P964" s="224"/>
    </row>
    <row r="965" spans="1:16" s="57" customFormat="1" ht="12.75" thickBot="1" x14ac:dyDescent="0.3">
      <c r="G965" s="243"/>
      <c r="H965" s="55"/>
    </row>
    <row r="966" spans="1:16" s="59" customFormat="1" ht="15" x14ac:dyDescent="0.25">
      <c r="A966" s="207">
        <v>4</v>
      </c>
      <c r="B966" s="750" t="s">
        <v>572</v>
      </c>
      <c r="C966" s="53" t="s">
        <v>39</v>
      </c>
      <c r="D966" s="53">
        <v>1</v>
      </c>
      <c r="E966" s="53">
        <v>1</v>
      </c>
      <c r="F966" s="53">
        <v>150000</v>
      </c>
      <c r="G966" s="54">
        <f>D966*E966*F966</f>
        <v>150000</v>
      </c>
      <c r="H966" s="55"/>
      <c r="I966" s="58"/>
      <c r="J966" s="58"/>
      <c r="K966" s="58"/>
      <c r="L966" s="58"/>
      <c r="M966" s="58"/>
      <c r="N966" s="58"/>
      <c r="O966" s="58"/>
      <c r="P966" s="58"/>
    </row>
    <row r="967" spans="1:16" s="59" customFormat="1" ht="15" x14ac:dyDescent="0.25">
      <c r="A967" s="66"/>
      <c r="B967" s="751"/>
      <c r="C967" s="244" t="s">
        <v>573</v>
      </c>
      <c r="D967" s="102"/>
      <c r="E967" s="245">
        <v>3</v>
      </c>
      <c r="F967" s="63"/>
      <c r="G967" s="64"/>
      <c r="H967" s="55"/>
      <c r="I967" s="58"/>
      <c r="J967" s="58"/>
      <c r="K967" s="58"/>
      <c r="L967" s="58"/>
      <c r="M967" s="58"/>
      <c r="N967" s="58"/>
      <c r="O967" s="58"/>
      <c r="P967" s="58"/>
    </row>
    <row r="968" spans="1:16" s="59" customFormat="1" ht="15" x14ac:dyDescent="0.25">
      <c r="A968" s="66"/>
      <c r="B968" s="751"/>
      <c r="C968" s="244" t="s">
        <v>574</v>
      </c>
      <c r="D968" s="246"/>
      <c r="E968" s="245">
        <v>3</v>
      </c>
      <c r="F968" s="63"/>
      <c r="G968" s="64"/>
      <c r="H968" s="55"/>
      <c r="I968" s="58"/>
      <c r="J968" s="58"/>
      <c r="K968" s="58"/>
      <c r="L968" s="58"/>
      <c r="M968" s="58"/>
      <c r="N968" s="58"/>
      <c r="O968" s="58"/>
      <c r="P968" s="58"/>
    </row>
    <row r="969" spans="1:16" s="59" customFormat="1" ht="15" x14ac:dyDescent="0.25">
      <c r="A969" s="66"/>
      <c r="B969" s="247"/>
      <c r="C969" s="244" t="s">
        <v>575</v>
      </c>
      <c r="D969" s="246"/>
      <c r="E969" s="245">
        <v>3</v>
      </c>
      <c r="F969" s="63"/>
      <c r="G969" s="64"/>
      <c r="H969" s="55"/>
      <c r="I969" s="58"/>
      <c r="J969" s="58"/>
      <c r="K969" s="58"/>
      <c r="L969" s="58"/>
      <c r="M969" s="58"/>
      <c r="N969" s="58"/>
      <c r="O969" s="58"/>
      <c r="P969" s="58"/>
    </row>
    <row r="970" spans="1:16" s="59" customFormat="1" ht="15" x14ac:dyDescent="0.25">
      <c r="A970" s="66"/>
      <c r="B970" s="247"/>
      <c r="C970" s="244" t="s">
        <v>576</v>
      </c>
      <c r="D970" s="246"/>
      <c r="E970" s="248">
        <v>3</v>
      </c>
      <c r="F970" s="63"/>
      <c r="G970" s="64"/>
      <c r="H970" s="55"/>
      <c r="I970" s="58"/>
      <c r="J970" s="58"/>
      <c r="K970" s="58"/>
      <c r="L970" s="58"/>
      <c r="M970" s="58"/>
      <c r="N970" s="58"/>
      <c r="O970" s="58"/>
      <c r="P970" s="58"/>
    </row>
    <row r="971" spans="1:16" s="59" customFormat="1" ht="15" x14ac:dyDescent="0.25">
      <c r="A971" s="66"/>
      <c r="B971" s="247"/>
      <c r="C971" s="244" t="s">
        <v>577</v>
      </c>
      <c r="D971" s="246"/>
      <c r="E971" s="248">
        <v>3</v>
      </c>
      <c r="F971" s="63"/>
      <c r="G971" s="64"/>
      <c r="H971" s="55"/>
      <c r="I971" s="58"/>
      <c r="J971" s="58"/>
      <c r="K971" s="58"/>
      <c r="L971" s="58"/>
      <c r="M971" s="58"/>
      <c r="N971" s="58"/>
      <c r="O971" s="58"/>
      <c r="P971" s="58"/>
    </row>
    <row r="972" spans="1:16" s="59" customFormat="1" ht="15" x14ac:dyDescent="0.25">
      <c r="A972" s="66"/>
      <c r="B972" s="247"/>
      <c r="C972" s="244" t="s">
        <v>578</v>
      </c>
      <c r="D972" s="246"/>
      <c r="E972" s="248">
        <v>3</v>
      </c>
      <c r="F972" s="63"/>
      <c r="G972" s="64"/>
      <c r="H972" s="55"/>
      <c r="I972" s="58"/>
      <c r="J972" s="58"/>
      <c r="K972" s="58"/>
      <c r="L972" s="58"/>
      <c r="M972" s="58"/>
      <c r="N972" s="58"/>
      <c r="O972" s="58"/>
      <c r="P972" s="58"/>
    </row>
    <row r="973" spans="1:16" s="59" customFormat="1" ht="15" x14ac:dyDescent="0.25">
      <c r="A973" s="66"/>
      <c r="B973" s="247"/>
      <c r="C973" s="244" t="s">
        <v>579</v>
      </c>
      <c r="D973" s="246"/>
      <c r="E973" s="248">
        <v>2</v>
      </c>
      <c r="F973" s="63"/>
      <c r="G973" s="64"/>
      <c r="H973" s="55"/>
      <c r="I973" s="58"/>
      <c r="J973" s="58"/>
      <c r="K973" s="58"/>
      <c r="L973" s="58"/>
      <c r="M973" s="58"/>
      <c r="N973" s="58"/>
      <c r="O973" s="58"/>
      <c r="P973" s="58"/>
    </row>
    <row r="974" spans="1:16" s="59" customFormat="1" ht="15" x14ac:dyDescent="0.25">
      <c r="A974" s="66"/>
      <c r="B974" s="70"/>
      <c r="C974" s="244" t="s">
        <v>580</v>
      </c>
      <c r="D974" s="246"/>
      <c r="E974" s="248">
        <v>8</v>
      </c>
      <c r="F974" s="63"/>
      <c r="G974" s="64"/>
      <c r="H974" s="55"/>
      <c r="I974" s="58"/>
      <c r="J974" s="58"/>
      <c r="K974" s="58"/>
      <c r="L974" s="58"/>
      <c r="M974" s="58"/>
      <c r="N974" s="58"/>
      <c r="O974" s="58"/>
      <c r="P974" s="58"/>
    </row>
    <row r="975" spans="1:16" s="59" customFormat="1" ht="15" x14ac:dyDescent="0.25">
      <c r="A975" s="66"/>
      <c r="B975" s="70"/>
      <c r="C975" s="63" t="s">
        <v>581</v>
      </c>
      <c r="D975" s="249">
        <v>35000</v>
      </c>
      <c r="E975" s="63">
        <f>SUM(E967:E974)</f>
        <v>28</v>
      </c>
      <c r="F975" s="63">
        <v>3</v>
      </c>
      <c r="G975" s="64">
        <f>D975*E975*F975</f>
        <v>2940000</v>
      </c>
      <c r="H975" s="55"/>
      <c r="I975" s="58"/>
      <c r="J975" s="58"/>
      <c r="K975" s="58"/>
      <c r="L975" s="58"/>
      <c r="M975" s="58"/>
      <c r="N975" s="58"/>
      <c r="O975" s="58"/>
      <c r="P975" s="58"/>
    </row>
    <row r="976" spans="1:16" s="59" customFormat="1" ht="22.5" x14ac:dyDescent="0.25">
      <c r="A976" s="66"/>
      <c r="B976" s="70"/>
      <c r="C976" s="208" t="s">
        <v>582</v>
      </c>
      <c r="D976" s="63">
        <v>300000</v>
      </c>
      <c r="E976" s="63">
        <f>E975</f>
        <v>28</v>
      </c>
      <c r="F976" s="63">
        <v>3</v>
      </c>
      <c r="G976" s="64">
        <f>D976*E976*F976</f>
        <v>25200000</v>
      </c>
      <c r="H976" s="55"/>
      <c r="I976" s="58"/>
      <c r="J976" s="58"/>
      <c r="K976" s="58"/>
      <c r="L976" s="58"/>
      <c r="M976" s="58"/>
      <c r="N976" s="58"/>
      <c r="O976" s="58"/>
      <c r="P976" s="58"/>
    </row>
    <row r="977" spans="1:16" s="59" customFormat="1" ht="15" x14ac:dyDescent="0.25">
      <c r="A977" s="66"/>
      <c r="B977" s="70"/>
      <c r="C977" s="63" t="s">
        <v>60</v>
      </c>
      <c r="D977" s="63">
        <f>G977/E977/F977</f>
        <v>19511.90476190476</v>
      </c>
      <c r="E977" s="63">
        <f>E976</f>
        <v>28</v>
      </c>
      <c r="F977" s="63">
        <v>3</v>
      </c>
      <c r="G977" s="64">
        <v>1639000</v>
      </c>
      <c r="H977" s="55"/>
      <c r="I977" s="58"/>
      <c r="J977" s="58"/>
      <c r="K977" s="58"/>
      <c r="L977" s="58"/>
      <c r="M977" s="58"/>
      <c r="N977" s="58"/>
      <c r="O977" s="58"/>
      <c r="P977" s="58"/>
    </row>
    <row r="978" spans="1:16" s="59" customFormat="1" ht="15" x14ac:dyDescent="0.25">
      <c r="A978" s="66"/>
      <c r="B978" s="71"/>
      <c r="C978" s="63" t="s">
        <v>147</v>
      </c>
      <c r="D978" s="63">
        <f>G978/E978/F978</f>
        <v>121904.76190476191</v>
      </c>
      <c r="E978" s="63">
        <v>7</v>
      </c>
      <c r="F978" s="63">
        <v>3</v>
      </c>
      <c r="G978" s="64">
        <v>2560000</v>
      </c>
      <c r="H978" s="55"/>
      <c r="I978" s="58"/>
      <c r="J978" s="58"/>
      <c r="K978" s="58"/>
      <c r="L978" s="58"/>
      <c r="M978" s="58"/>
      <c r="N978" s="58"/>
      <c r="O978" s="58"/>
      <c r="P978" s="58"/>
    </row>
    <row r="979" spans="1:16" s="59" customFormat="1" ht="15.75" thickBot="1" x14ac:dyDescent="0.3">
      <c r="A979" s="66"/>
      <c r="B979" s="71"/>
      <c r="C979" s="63"/>
      <c r="D979" s="63"/>
      <c r="E979" s="63"/>
      <c r="F979" s="63"/>
      <c r="G979" s="64"/>
      <c r="H979" s="55"/>
      <c r="I979" s="58"/>
      <c r="J979" s="58"/>
      <c r="K979" s="58"/>
      <c r="L979" s="58"/>
      <c r="M979" s="58"/>
      <c r="N979" s="58"/>
      <c r="O979" s="58"/>
      <c r="P979" s="58"/>
    </row>
    <row r="980" spans="1:16" s="59" customFormat="1" ht="15.75" thickBot="1" x14ac:dyDescent="0.3">
      <c r="A980" s="66"/>
      <c r="B980" s="71"/>
      <c r="C980" s="72" t="s">
        <v>140</v>
      </c>
      <c r="D980" s="72"/>
      <c r="E980" s="72"/>
      <c r="F980" s="72"/>
      <c r="G980" s="73">
        <f>SUM(G966:G979)</f>
        <v>32489000</v>
      </c>
      <c r="H980" s="74">
        <f>G980/8136</f>
        <v>3993.2399213372664</v>
      </c>
      <c r="J980" s="58"/>
      <c r="K980" s="58"/>
      <c r="L980" s="58"/>
      <c r="M980" s="58"/>
      <c r="N980" s="58"/>
      <c r="O980" s="58"/>
      <c r="P980" s="58"/>
    </row>
    <row r="981" spans="1:16" s="59" customFormat="1" ht="15" x14ac:dyDescent="0.25">
      <c r="A981" s="66"/>
      <c r="B981" s="71"/>
      <c r="C981" s="63"/>
      <c r="D981" s="63"/>
      <c r="E981" s="63"/>
      <c r="F981" s="63"/>
      <c r="G981" s="64"/>
      <c r="H981" s="55"/>
      <c r="I981" s="58"/>
      <c r="J981" s="58"/>
      <c r="K981" s="58"/>
      <c r="L981" s="58"/>
      <c r="M981" s="58"/>
      <c r="N981" s="58"/>
      <c r="O981" s="58"/>
      <c r="P981" s="58"/>
    </row>
    <row r="982" spans="1:16" s="59" customFormat="1" ht="15.75" thickBot="1" x14ac:dyDescent="0.3">
      <c r="A982" s="213"/>
      <c r="B982" s="214"/>
      <c r="C982" s="214"/>
      <c r="D982" s="215"/>
      <c r="E982" s="215"/>
      <c r="F982" s="216"/>
      <c r="G982" s="217"/>
      <c r="I982" s="58"/>
      <c r="J982" s="58"/>
      <c r="K982" s="58"/>
      <c r="L982" s="58"/>
      <c r="M982" s="58"/>
      <c r="N982" s="58"/>
      <c r="O982" s="58"/>
    </row>
    <row r="983" spans="1:16" s="57" customFormat="1" ht="12.75" thickBot="1" x14ac:dyDescent="0.3">
      <c r="H983" s="55"/>
    </row>
    <row r="984" spans="1:16" s="59" customFormat="1" ht="15" x14ac:dyDescent="0.25">
      <c r="A984" s="207">
        <v>5</v>
      </c>
      <c r="B984" s="750" t="s">
        <v>583</v>
      </c>
      <c r="C984" s="53" t="s">
        <v>584</v>
      </c>
      <c r="D984" s="53">
        <v>115000</v>
      </c>
      <c r="E984" s="53">
        <v>300</v>
      </c>
      <c r="F984" s="53"/>
      <c r="G984" s="54">
        <f>D984*E984</f>
        <v>34500000</v>
      </c>
      <c r="H984" s="55"/>
      <c r="I984" s="58"/>
      <c r="J984" s="58"/>
      <c r="K984" s="58"/>
      <c r="L984" s="58"/>
      <c r="M984" s="58"/>
      <c r="N984" s="58"/>
      <c r="O984" s="58"/>
      <c r="P984" s="58"/>
    </row>
    <row r="985" spans="1:16" s="59" customFormat="1" ht="15" x14ac:dyDescent="0.25">
      <c r="A985" s="66"/>
      <c r="B985" s="751"/>
      <c r="C985" s="63" t="s">
        <v>585</v>
      </c>
      <c r="D985" s="63">
        <v>100000</v>
      </c>
      <c r="E985" s="63">
        <v>300</v>
      </c>
      <c r="F985" s="63"/>
      <c r="G985" s="64">
        <f>D985*E985</f>
        <v>30000000</v>
      </c>
      <c r="H985" s="55"/>
      <c r="I985" s="58"/>
      <c r="J985" s="58"/>
      <c r="K985" s="58"/>
      <c r="L985" s="58"/>
      <c r="M985" s="58"/>
      <c r="N985" s="58"/>
      <c r="O985" s="58"/>
      <c r="P985" s="58"/>
    </row>
    <row r="986" spans="1:16" s="59" customFormat="1" ht="15" x14ac:dyDescent="0.25">
      <c r="A986" s="66"/>
      <c r="B986" s="247"/>
      <c r="C986" s="63" t="s">
        <v>586</v>
      </c>
      <c r="D986" s="63">
        <v>100000</v>
      </c>
      <c r="E986" s="63">
        <v>300</v>
      </c>
      <c r="F986" s="63"/>
      <c r="G986" s="64">
        <f>D986*E986</f>
        <v>30000000</v>
      </c>
      <c r="H986" s="55"/>
      <c r="I986" s="58"/>
      <c r="J986" s="58"/>
      <c r="K986" s="58"/>
      <c r="L986" s="58"/>
      <c r="M986" s="58"/>
      <c r="N986" s="58"/>
      <c r="O986" s="58"/>
      <c r="P986" s="58"/>
    </row>
    <row r="987" spans="1:16" s="59" customFormat="1" ht="15" x14ac:dyDescent="0.25">
      <c r="A987" s="66"/>
      <c r="B987" s="247"/>
      <c r="C987" s="63" t="s">
        <v>587</v>
      </c>
      <c r="D987" s="63">
        <v>50000</v>
      </c>
      <c r="E987" s="63">
        <v>30</v>
      </c>
      <c r="F987" s="63"/>
      <c r="G987" s="64">
        <f>D987*E987</f>
        <v>1500000</v>
      </c>
      <c r="H987" s="55"/>
      <c r="I987" s="58"/>
      <c r="J987" s="58"/>
      <c r="K987" s="58"/>
      <c r="L987" s="58"/>
      <c r="M987" s="58"/>
      <c r="N987" s="58"/>
      <c r="O987" s="58"/>
      <c r="P987" s="58"/>
    </row>
    <row r="988" spans="1:16" s="59" customFormat="1" ht="15.75" thickBot="1" x14ac:dyDescent="0.3">
      <c r="A988" s="66"/>
      <c r="B988" s="247"/>
      <c r="C988" s="63" t="s">
        <v>588</v>
      </c>
      <c r="D988" s="63">
        <v>20000</v>
      </c>
      <c r="E988" s="63">
        <v>100</v>
      </c>
      <c r="F988" s="63"/>
      <c r="G988" s="64">
        <f>D988*E988</f>
        <v>2000000</v>
      </c>
      <c r="H988" s="55"/>
      <c r="I988" s="58"/>
      <c r="J988" s="58"/>
      <c r="K988" s="58"/>
      <c r="L988" s="58"/>
      <c r="M988" s="58"/>
      <c r="N988" s="58"/>
      <c r="O988" s="58"/>
      <c r="P988" s="58"/>
    </row>
    <row r="989" spans="1:16" s="59" customFormat="1" ht="15.75" thickBot="1" x14ac:dyDescent="0.3">
      <c r="A989" s="66"/>
      <c r="B989" s="71"/>
      <c r="C989" s="72" t="s">
        <v>140</v>
      </c>
      <c r="D989" s="72"/>
      <c r="E989" s="72"/>
      <c r="F989" s="72"/>
      <c r="G989" s="73">
        <f>SUM(G984:G988)</f>
        <v>98000000</v>
      </c>
      <c r="H989" s="250">
        <f>G989/8136</f>
        <v>12045.231071779745</v>
      </c>
      <c r="I989" s="58"/>
      <c r="J989" s="58"/>
      <c r="K989" s="58"/>
      <c r="L989" s="58"/>
      <c r="M989" s="58"/>
      <c r="N989" s="58"/>
      <c r="O989" s="58"/>
      <c r="P989" s="58"/>
    </row>
    <row r="990" spans="1:16" s="59" customFormat="1" ht="15.75" thickBot="1" x14ac:dyDescent="0.3">
      <c r="A990" s="66"/>
      <c r="B990" s="71"/>
      <c r="C990" s="63"/>
      <c r="D990" s="63"/>
      <c r="E990" s="63"/>
      <c r="F990" s="63"/>
      <c r="G990" s="64"/>
      <c r="H990" s="55"/>
      <c r="I990" s="58"/>
      <c r="J990" s="58"/>
      <c r="K990" s="58"/>
      <c r="L990" s="58"/>
      <c r="M990" s="58"/>
      <c r="N990" s="58"/>
      <c r="O990" s="58"/>
      <c r="P990" s="58"/>
    </row>
    <row r="991" spans="1:16" s="59" customFormat="1" ht="15.75" thickBot="1" x14ac:dyDescent="0.3">
      <c r="A991" s="66"/>
      <c r="B991" s="71"/>
      <c r="C991" s="72" t="s">
        <v>589</v>
      </c>
      <c r="D991" s="72"/>
      <c r="E991" s="72"/>
      <c r="F991" s="72"/>
      <c r="G991" s="251"/>
      <c r="H991" s="58"/>
      <c r="I991" s="58"/>
      <c r="J991" s="58"/>
      <c r="K991" s="58"/>
      <c r="L991" s="58"/>
      <c r="M991" s="58"/>
      <c r="N991" s="58"/>
      <c r="O991" s="58"/>
    </row>
    <row r="992" spans="1:16" s="59" customFormat="1" ht="15.75" thickBot="1" x14ac:dyDescent="0.3">
      <c r="A992" s="213"/>
      <c r="B992" s="214"/>
      <c r="C992" s="214"/>
      <c r="D992" s="215"/>
      <c r="E992" s="215"/>
      <c r="F992" s="216"/>
      <c r="G992" s="217"/>
      <c r="H992" s="58"/>
      <c r="I992" s="58"/>
      <c r="J992" s="58"/>
      <c r="K992" s="58"/>
      <c r="L992" s="58"/>
      <c r="M992" s="58"/>
      <c r="N992" s="58"/>
      <c r="O992" s="58"/>
    </row>
    <row r="993" spans="1:21" s="59" customFormat="1" ht="12" customHeight="1" x14ac:dyDescent="0.25">
      <c r="A993" s="207">
        <v>7</v>
      </c>
      <c r="B993" s="750" t="s">
        <v>590</v>
      </c>
      <c r="C993" s="53" t="s">
        <v>591</v>
      </c>
      <c r="D993" s="53">
        <v>150000</v>
      </c>
      <c r="E993" s="53">
        <v>1</v>
      </c>
      <c r="F993" s="53">
        <v>1</v>
      </c>
      <c r="G993" s="54">
        <f>D993*E993*F993</f>
        <v>150000</v>
      </c>
      <c r="H993" s="252"/>
      <c r="I993" s="57"/>
      <c r="J993" s="57"/>
      <c r="K993" s="57"/>
      <c r="L993" s="57"/>
      <c r="M993" s="57"/>
      <c r="N993" s="58"/>
      <c r="O993" s="58"/>
      <c r="P993" s="58"/>
      <c r="Q993" s="58"/>
      <c r="R993" s="58"/>
      <c r="S993" s="58"/>
      <c r="T993" s="58"/>
      <c r="U993" s="58"/>
    </row>
    <row r="994" spans="1:21" s="59" customFormat="1" ht="23.1" customHeight="1" x14ac:dyDescent="0.25">
      <c r="A994" s="66"/>
      <c r="B994" s="751"/>
      <c r="C994" s="208" t="s">
        <v>592</v>
      </c>
      <c r="D994" s="63"/>
      <c r="E994" s="63">
        <v>9</v>
      </c>
      <c r="F994" s="63"/>
      <c r="G994" s="64">
        <f>D994*E994*F994</f>
        <v>0</v>
      </c>
      <c r="H994" s="252"/>
      <c r="I994" s="57"/>
      <c r="J994" s="57"/>
      <c r="K994" s="57"/>
      <c r="L994" s="57"/>
      <c r="M994" s="57"/>
      <c r="N994" s="58"/>
      <c r="O994" s="58"/>
      <c r="P994" s="58"/>
      <c r="Q994" s="58"/>
      <c r="R994" s="58"/>
      <c r="S994" s="58"/>
      <c r="T994" s="58"/>
      <c r="U994" s="58"/>
    </row>
    <row r="995" spans="1:21" s="59" customFormat="1" ht="12" customHeight="1" x14ac:dyDescent="0.25">
      <c r="A995" s="66"/>
      <c r="B995" s="247"/>
      <c r="C995" s="63" t="s">
        <v>593</v>
      </c>
      <c r="D995" s="63"/>
      <c r="E995" s="63">
        <v>3</v>
      </c>
      <c r="F995" s="63"/>
      <c r="G995" s="64">
        <f t="shared" ref="G995:G1002" si="104">D995*E995*F995</f>
        <v>0</v>
      </c>
      <c r="H995" s="252"/>
      <c r="I995" s="57"/>
      <c r="J995" s="57"/>
      <c r="K995" s="57"/>
      <c r="L995" s="57"/>
      <c r="M995" s="57"/>
      <c r="N995" s="58"/>
      <c r="O995" s="58"/>
      <c r="P995" s="58"/>
      <c r="Q995" s="58"/>
      <c r="R995" s="58"/>
      <c r="S995" s="58"/>
      <c r="T995" s="58"/>
      <c r="U995" s="58"/>
    </row>
    <row r="996" spans="1:21" s="59" customFormat="1" ht="12" customHeight="1" x14ac:dyDescent="0.25">
      <c r="A996" s="66"/>
      <c r="B996" s="71"/>
      <c r="C996" s="63" t="s">
        <v>594</v>
      </c>
      <c r="D996" s="63"/>
      <c r="E996" s="63">
        <v>2</v>
      </c>
      <c r="F996" s="63"/>
      <c r="G996" s="64">
        <f t="shared" si="104"/>
        <v>0</v>
      </c>
      <c r="H996" s="252"/>
      <c r="I996" s="57"/>
      <c r="J996" s="57"/>
      <c r="K996" s="57"/>
      <c r="L996" s="57"/>
      <c r="M996" s="57"/>
      <c r="N996" s="58"/>
      <c r="O996" s="58"/>
      <c r="P996" s="58"/>
      <c r="Q996" s="58"/>
      <c r="R996" s="58"/>
      <c r="S996" s="58"/>
      <c r="T996" s="58"/>
      <c r="U996" s="58"/>
    </row>
    <row r="997" spans="1:21" s="59" customFormat="1" ht="12" customHeight="1" x14ac:dyDescent="0.25">
      <c r="A997" s="66"/>
      <c r="B997" s="71"/>
      <c r="C997" s="63" t="s">
        <v>595</v>
      </c>
      <c r="D997" s="63"/>
      <c r="E997" s="63">
        <v>3</v>
      </c>
      <c r="F997" s="63"/>
      <c r="G997" s="64">
        <f t="shared" si="104"/>
        <v>0</v>
      </c>
      <c r="H997" s="252"/>
      <c r="I997" s="57"/>
      <c r="J997" s="57"/>
      <c r="K997" s="57"/>
      <c r="L997" s="57"/>
      <c r="M997" s="57"/>
      <c r="N997" s="58"/>
      <c r="O997" s="58"/>
      <c r="P997" s="58"/>
      <c r="Q997" s="58"/>
      <c r="R997" s="58"/>
      <c r="S997" s="58"/>
      <c r="T997" s="58"/>
      <c r="U997" s="58"/>
    </row>
    <row r="998" spans="1:21" s="59" customFormat="1" ht="12" customHeight="1" x14ac:dyDescent="0.25">
      <c r="A998" s="66"/>
      <c r="B998" s="71"/>
      <c r="C998" s="63" t="s">
        <v>596</v>
      </c>
      <c r="D998" s="63"/>
      <c r="E998" s="63">
        <v>2</v>
      </c>
      <c r="F998" s="63"/>
      <c r="G998" s="64">
        <f t="shared" si="104"/>
        <v>0</v>
      </c>
      <c r="H998" s="252"/>
      <c r="I998" s="57"/>
      <c r="J998" s="57"/>
      <c r="K998" s="57"/>
      <c r="L998" s="57"/>
      <c r="M998" s="57"/>
      <c r="N998" s="58"/>
      <c r="O998" s="58"/>
      <c r="P998" s="58"/>
      <c r="Q998" s="58"/>
      <c r="R998" s="58"/>
      <c r="S998" s="58"/>
      <c r="T998" s="58"/>
      <c r="U998" s="58"/>
    </row>
    <row r="999" spans="1:21" s="59" customFormat="1" ht="12" customHeight="1" x14ac:dyDescent="0.25">
      <c r="A999" s="66"/>
      <c r="B999" s="71"/>
      <c r="C999" s="63" t="s">
        <v>597</v>
      </c>
      <c r="D999" s="63"/>
      <c r="E999" s="63">
        <f>E998</f>
        <v>2</v>
      </c>
      <c r="F999" s="63"/>
      <c r="G999" s="64">
        <f t="shared" si="104"/>
        <v>0</v>
      </c>
      <c r="H999" s="252"/>
      <c r="I999" s="57"/>
      <c r="J999" s="57"/>
      <c r="K999" s="57"/>
      <c r="L999" s="57"/>
      <c r="M999" s="57"/>
      <c r="N999" s="58"/>
      <c r="O999" s="58"/>
      <c r="P999" s="58"/>
      <c r="Q999" s="58"/>
      <c r="R999" s="58"/>
      <c r="S999" s="58"/>
      <c r="T999" s="58"/>
      <c r="U999" s="58"/>
    </row>
    <row r="1000" spans="1:21" s="59" customFormat="1" ht="12" customHeight="1" x14ac:dyDescent="0.25">
      <c r="A1000" s="66"/>
      <c r="B1000" s="71"/>
      <c r="C1000" s="63" t="s">
        <v>598</v>
      </c>
      <c r="D1000" s="63"/>
      <c r="E1000" s="63">
        <v>2</v>
      </c>
      <c r="F1000" s="63"/>
      <c r="G1000" s="64">
        <f t="shared" si="104"/>
        <v>0</v>
      </c>
      <c r="H1000" s="252"/>
      <c r="I1000" s="57"/>
      <c r="J1000" s="57"/>
      <c r="K1000" s="57"/>
      <c r="L1000" s="57"/>
      <c r="M1000" s="57"/>
      <c r="N1000" s="58"/>
      <c r="O1000" s="58"/>
      <c r="P1000" s="58"/>
      <c r="Q1000" s="58"/>
      <c r="R1000" s="58"/>
      <c r="S1000" s="58"/>
      <c r="T1000" s="58"/>
      <c r="U1000" s="58"/>
    </row>
    <row r="1001" spans="1:21" s="59" customFormat="1" ht="12" customHeight="1" x14ac:dyDescent="0.25">
      <c r="A1001" s="66"/>
      <c r="B1001" s="71"/>
      <c r="C1001" s="63" t="s">
        <v>599</v>
      </c>
      <c r="D1001" s="63"/>
      <c r="E1001" s="63">
        <v>5</v>
      </c>
      <c r="F1001" s="63"/>
      <c r="G1001" s="64">
        <f t="shared" si="104"/>
        <v>0</v>
      </c>
      <c r="H1001" s="252"/>
      <c r="I1001" s="57"/>
      <c r="J1001" s="57"/>
      <c r="K1001" s="57"/>
      <c r="L1001" s="57"/>
      <c r="M1001" s="57"/>
      <c r="N1001" s="58"/>
      <c r="O1001" s="58"/>
      <c r="P1001" s="58"/>
      <c r="Q1001" s="58"/>
      <c r="R1001" s="58"/>
      <c r="S1001" s="58"/>
      <c r="T1001" s="58"/>
      <c r="U1001" s="58"/>
    </row>
    <row r="1002" spans="1:21" s="59" customFormat="1" ht="12" customHeight="1" x14ac:dyDescent="0.25">
      <c r="A1002" s="66"/>
      <c r="B1002" s="71"/>
      <c r="C1002" s="63" t="s">
        <v>600</v>
      </c>
      <c r="D1002" s="63"/>
      <c r="E1002" s="63">
        <v>4</v>
      </c>
      <c r="F1002" s="63"/>
      <c r="G1002" s="64">
        <f t="shared" si="104"/>
        <v>0</v>
      </c>
      <c r="H1002" s="252"/>
      <c r="I1002" s="57"/>
      <c r="J1002" s="57"/>
      <c r="K1002" s="57"/>
      <c r="L1002" s="57"/>
      <c r="M1002" s="57"/>
      <c r="N1002" s="58"/>
      <c r="O1002" s="58"/>
      <c r="P1002" s="58"/>
      <c r="Q1002" s="58"/>
      <c r="R1002" s="58"/>
      <c r="S1002" s="58"/>
      <c r="T1002" s="58"/>
      <c r="U1002" s="58"/>
    </row>
    <row r="1003" spans="1:21" s="59" customFormat="1" ht="11.25" customHeight="1" x14ac:dyDescent="0.25">
      <c r="A1003" s="66"/>
      <c r="B1003" s="70"/>
      <c r="C1003" s="208" t="s">
        <v>231</v>
      </c>
      <c r="D1003" s="63">
        <v>800000</v>
      </c>
      <c r="E1003" s="63">
        <v>1</v>
      </c>
      <c r="F1003" s="63">
        <v>2</v>
      </c>
      <c r="G1003" s="64">
        <f>D1003*E1003*F1003</f>
        <v>1600000</v>
      </c>
      <c r="H1003" s="55"/>
      <c r="I1003" s="58"/>
      <c r="J1003" s="58"/>
      <c r="K1003" s="58"/>
      <c r="L1003" s="58"/>
      <c r="M1003" s="58"/>
      <c r="N1003" s="58"/>
      <c r="O1003" s="58"/>
      <c r="P1003" s="58"/>
    </row>
    <row r="1004" spans="1:21" s="59" customFormat="1" ht="11.25" customHeight="1" x14ac:dyDescent="0.25">
      <c r="A1004" s="66"/>
      <c r="B1004" s="70"/>
      <c r="C1004" s="208" t="s">
        <v>97</v>
      </c>
      <c r="D1004" s="63">
        <v>40000</v>
      </c>
      <c r="E1004" s="63">
        <f>SUM(E993:E1002)</f>
        <v>33</v>
      </c>
      <c r="F1004" s="63">
        <v>2</v>
      </c>
      <c r="G1004" s="64">
        <f>D1004*E1004*F1004</f>
        <v>2640000</v>
      </c>
      <c r="H1004" s="55"/>
      <c r="I1004" s="58"/>
      <c r="J1004" s="58"/>
      <c r="K1004" s="58"/>
      <c r="L1004" s="58"/>
      <c r="M1004" s="58"/>
      <c r="N1004" s="58"/>
      <c r="O1004" s="58"/>
      <c r="P1004" s="58"/>
    </row>
    <row r="1005" spans="1:21" s="59" customFormat="1" ht="12" customHeight="1" x14ac:dyDescent="0.25">
      <c r="A1005" s="66"/>
      <c r="B1005" s="70"/>
      <c r="C1005" s="63" t="s">
        <v>60</v>
      </c>
      <c r="D1005" s="63">
        <f>G1005/E1005</f>
        <v>56181.818181818184</v>
      </c>
      <c r="E1005" s="63">
        <f>E1004</f>
        <v>33</v>
      </c>
      <c r="F1005" s="63">
        <v>2</v>
      </c>
      <c r="G1005" s="64">
        <v>1854000</v>
      </c>
      <c r="H1005" s="252"/>
      <c r="I1005" s="57"/>
      <c r="J1005" s="57"/>
      <c r="K1005" s="57"/>
      <c r="L1005" s="57"/>
      <c r="M1005" s="57"/>
      <c r="N1005" s="58"/>
      <c r="O1005" s="58"/>
      <c r="P1005" s="58"/>
      <c r="Q1005" s="58"/>
      <c r="R1005" s="58"/>
      <c r="S1005" s="58"/>
      <c r="T1005" s="58"/>
      <c r="U1005" s="58"/>
    </row>
    <row r="1006" spans="1:21" s="59" customFormat="1" ht="12" customHeight="1" x14ac:dyDescent="0.25">
      <c r="A1006" s="66"/>
      <c r="B1006" s="70"/>
      <c r="C1006" s="63" t="s">
        <v>147</v>
      </c>
      <c r="D1006" s="63">
        <f>G1006/E1006/F1006</f>
        <v>182857.14285714287</v>
      </c>
      <c r="E1006" s="63">
        <v>7</v>
      </c>
      <c r="F1006" s="63">
        <v>2</v>
      </c>
      <c r="G1006" s="64">
        <v>2560000</v>
      </c>
      <c r="H1006" s="252"/>
      <c r="I1006" s="57"/>
      <c r="J1006" s="57"/>
      <c r="K1006" s="57"/>
      <c r="L1006" s="57"/>
      <c r="M1006" s="57"/>
      <c r="N1006" s="58"/>
      <c r="O1006" s="58"/>
      <c r="P1006" s="58"/>
      <c r="Q1006" s="58"/>
      <c r="R1006" s="58"/>
      <c r="S1006" s="58"/>
      <c r="T1006" s="58"/>
      <c r="U1006" s="58"/>
    </row>
    <row r="1007" spans="1:21" s="59" customFormat="1" ht="12" customHeight="1" thickBot="1" x14ac:dyDescent="0.3">
      <c r="A1007" s="66"/>
      <c r="B1007" s="71"/>
      <c r="C1007" s="63"/>
      <c r="D1007" s="63"/>
      <c r="E1007" s="63"/>
      <c r="F1007" s="63"/>
      <c r="G1007" s="64"/>
      <c r="H1007" s="252"/>
      <c r="I1007" s="57"/>
      <c r="J1007" s="57"/>
      <c r="K1007" s="57"/>
      <c r="L1007" s="57"/>
      <c r="M1007" s="57"/>
      <c r="N1007" s="58"/>
      <c r="O1007" s="58"/>
      <c r="P1007" s="58"/>
      <c r="Q1007" s="58"/>
      <c r="R1007" s="58"/>
      <c r="S1007" s="58"/>
      <c r="T1007" s="58"/>
      <c r="U1007" s="58"/>
    </row>
    <row r="1008" spans="1:21" s="59" customFormat="1" ht="12" customHeight="1" thickBot="1" x14ac:dyDescent="0.3">
      <c r="A1008" s="66"/>
      <c r="B1008" s="71"/>
      <c r="C1008" s="72" t="s">
        <v>140</v>
      </c>
      <c r="D1008" s="72"/>
      <c r="E1008" s="72"/>
      <c r="F1008" s="72"/>
      <c r="G1008" s="73">
        <f>SUM(G993:G1007)</f>
        <v>8804000</v>
      </c>
      <c r="H1008" s="253">
        <f>G1008/8136</f>
        <v>1082.1042281219272</v>
      </c>
      <c r="I1008" s="57"/>
      <c r="J1008" s="57"/>
      <c r="K1008" s="57"/>
      <c r="L1008" s="57"/>
      <c r="M1008" s="57"/>
      <c r="N1008" s="58"/>
      <c r="O1008" s="58"/>
      <c r="P1008" s="58"/>
      <c r="Q1008" s="58"/>
      <c r="R1008" s="58"/>
      <c r="S1008" s="58"/>
      <c r="T1008" s="58"/>
      <c r="U1008" s="58"/>
    </row>
    <row r="1009" spans="1:21" s="59" customFormat="1" ht="12" customHeight="1" x14ac:dyDescent="0.25">
      <c r="A1009" s="66"/>
      <c r="B1009" s="71"/>
      <c r="C1009" s="63"/>
      <c r="D1009" s="63"/>
      <c r="E1009" s="63"/>
      <c r="F1009" s="63"/>
      <c r="G1009" s="64"/>
      <c r="H1009" s="252"/>
      <c r="I1009" s="57"/>
      <c r="J1009" s="57"/>
      <c r="K1009" s="57"/>
      <c r="L1009" s="57"/>
      <c r="M1009" s="57"/>
      <c r="N1009" s="58"/>
      <c r="O1009" s="58"/>
      <c r="P1009" s="58"/>
      <c r="Q1009" s="58"/>
      <c r="R1009" s="58"/>
      <c r="S1009" s="58"/>
      <c r="T1009" s="58"/>
      <c r="U1009" s="58"/>
    </row>
    <row r="1010" spans="1:21" s="59" customFormat="1" ht="12" customHeight="1" thickBot="1" x14ac:dyDescent="0.3">
      <c r="A1010" s="213"/>
      <c r="B1010" s="214"/>
      <c r="C1010" s="214"/>
      <c r="D1010" s="215"/>
      <c r="E1010" s="215"/>
      <c r="F1010" s="216"/>
      <c r="G1010" s="217"/>
      <c r="H1010" s="252"/>
      <c r="I1010" s="57"/>
      <c r="J1010" s="57"/>
      <c r="K1010" s="57"/>
      <c r="L1010" s="57"/>
      <c r="M1010" s="57"/>
      <c r="N1010" s="58"/>
      <c r="O1010" s="58"/>
      <c r="P1010" s="58"/>
      <c r="Q1010" s="58"/>
      <c r="R1010" s="58"/>
      <c r="S1010" s="58"/>
      <c r="T1010" s="58"/>
      <c r="U1010" s="58"/>
    </row>
    <row r="1011" spans="1:21" s="59" customFormat="1" ht="12" customHeight="1" thickBot="1" x14ac:dyDescent="0.3">
      <c r="A1011" s="66"/>
      <c r="B1011" s="254"/>
      <c r="C1011" s="254"/>
      <c r="D1011" s="72"/>
      <c r="E1011" s="72"/>
      <c r="F1011" s="63"/>
      <c r="G1011" s="255"/>
      <c r="H1011" s="252"/>
      <c r="I1011" s="57"/>
      <c r="J1011" s="57"/>
      <c r="K1011" s="57"/>
      <c r="L1011" s="57"/>
      <c r="M1011" s="57"/>
      <c r="N1011" s="58"/>
      <c r="O1011" s="58"/>
      <c r="P1011" s="58"/>
      <c r="Q1011" s="58"/>
      <c r="R1011" s="58"/>
      <c r="S1011" s="58"/>
      <c r="T1011" s="58"/>
      <c r="U1011" s="58"/>
    </row>
    <row r="1012" spans="1:21" s="59" customFormat="1" ht="12" customHeight="1" x14ac:dyDescent="0.25">
      <c r="A1012" s="207">
        <v>8</v>
      </c>
      <c r="B1012" s="750" t="s">
        <v>601</v>
      </c>
      <c r="C1012" s="53" t="s">
        <v>591</v>
      </c>
      <c r="D1012" s="53">
        <v>150000</v>
      </c>
      <c r="E1012" s="53">
        <v>1</v>
      </c>
      <c r="F1012" s="53">
        <v>1</v>
      </c>
      <c r="G1012" s="54">
        <f>D1012*E1012*F1012</f>
        <v>150000</v>
      </c>
      <c r="H1012" s="252"/>
      <c r="I1012" s="57"/>
      <c r="J1012" s="57"/>
      <c r="K1012" s="57"/>
      <c r="L1012" s="57"/>
      <c r="M1012" s="57"/>
      <c r="N1012" s="58"/>
      <c r="O1012" s="58"/>
      <c r="P1012" s="58"/>
      <c r="Q1012" s="58"/>
      <c r="R1012" s="58"/>
      <c r="S1012" s="58"/>
      <c r="T1012" s="58"/>
      <c r="U1012" s="58"/>
    </row>
    <row r="1013" spans="1:21" s="59" customFormat="1" ht="15" x14ac:dyDescent="0.25">
      <c r="A1013" s="66"/>
      <c r="B1013" s="751"/>
      <c r="C1013" s="208" t="s">
        <v>592</v>
      </c>
      <c r="D1013" s="63"/>
      <c r="E1013" s="63">
        <v>9</v>
      </c>
      <c r="F1013" s="63"/>
      <c r="G1013" s="64">
        <f>D1013*E1013*F1013</f>
        <v>0</v>
      </c>
      <c r="H1013" s="252"/>
      <c r="I1013" s="57"/>
      <c r="J1013" s="57"/>
      <c r="K1013" s="57"/>
      <c r="L1013" s="57"/>
      <c r="M1013" s="57"/>
      <c r="N1013" s="58"/>
      <c r="O1013" s="58"/>
      <c r="P1013" s="58"/>
      <c r="Q1013" s="58"/>
      <c r="R1013" s="58"/>
      <c r="S1013" s="58"/>
      <c r="T1013" s="58"/>
      <c r="U1013" s="58"/>
    </row>
    <row r="1014" spans="1:21" s="59" customFormat="1" ht="12" customHeight="1" x14ac:dyDescent="0.25">
      <c r="A1014" s="66"/>
      <c r="B1014" s="247"/>
      <c r="C1014" s="63" t="s">
        <v>593</v>
      </c>
      <c r="D1014" s="63"/>
      <c r="E1014" s="63">
        <v>3</v>
      </c>
      <c r="F1014" s="63"/>
      <c r="G1014" s="64">
        <f t="shared" ref="G1014:G1022" si="105">D1014*E1014*F1014</f>
        <v>0</v>
      </c>
      <c r="H1014" s="252"/>
      <c r="I1014" s="57"/>
      <c r="J1014" s="57"/>
      <c r="K1014" s="57"/>
      <c r="L1014" s="57"/>
      <c r="M1014" s="57"/>
      <c r="N1014" s="58"/>
      <c r="O1014" s="58"/>
      <c r="P1014" s="58"/>
      <c r="Q1014" s="58"/>
      <c r="R1014" s="58"/>
      <c r="S1014" s="58"/>
      <c r="T1014" s="58"/>
      <c r="U1014" s="58"/>
    </row>
    <row r="1015" spans="1:21" s="59" customFormat="1" ht="12" customHeight="1" x14ac:dyDescent="0.25">
      <c r="A1015" s="66"/>
      <c r="B1015" s="71"/>
      <c r="C1015" s="63" t="s">
        <v>594</v>
      </c>
      <c r="D1015" s="63"/>
      <c r="E1015" s="63">
        <v>2</v>
      </c>
      <c r="F1015" s="63"/>
      <c r="G1015" s="64">
        <f t="shared" si="105"/>
        <v>0</v>
      </c>
      <c r="H1015" s="252"/>
      <c r="I1015" s="57">
        <f>H1008+H1026+H1034+H1041+H1063+H1116+H1125+H1152</f>
        <v>40145.280235988204</v>
      </c>
      <c r="J1015" s="57"/>
      <c r="K1015" s="57"/>
      <c r="L1015" s="57"/>
      <c r="M1015" s="57"/>
      <c r="N1015" s="58"/>
      <c r="O1015" s="58"/>
      <c r="P1015" s="58"/>
      <c r="Q1015" s="58"/>
      <c r="R1015" s="58"/>
      <c r="S1015" s="58"/>
      <c r="T1015" s="58"/>
      <c r="U1015" s="58"/>
    </row>
    <row r="1016" spans="1:21" s="59" customFormat="1" ht="12" customHeight="1" x14ac:dyDescent="0.25">
      <c r="A1016" s="66"/>
      <c r="B1016" s="71"/>
      <c r="C1016" s="63" t="s">
        <v>595</v>
      </c>
      <c r="D1016" s="63"/>
      <c r="E1016" s="63">
        <v>3</v>
      </c>
      <c r="F1016" s="63"/>
      <c r="G1016" s="64">
        <f t="shared" si="105"/>
        <v>0</v>
      </c>
      <c r="H1016" s="252"/>
      <c r="I1016" s="57"/>
      <c r="J1016" s="57"/>
      <c r="K1016" s="57"/>
      <c r="L1016" s="57"/>
      <c r="M1016" s="57"/>
      <c r="N1016" s="58"/>
      <c r="O1016" s="58"/>
      <c r="P1016" s="58"/>
      <c r="Q1016" s="58"/>
      <c r="R1016" s="58"/>
      <c r="S1016" s="58"/>
      <c r="T1016" s="58"/>
      <c r="U1016" s="58"/>
    </row>
    <row r="1017" spans="1:21" s="59" customFormat="1" ht="12" customHeight="1" x14ac:dyDescent="0.25">
      <c r="A1017" s="66"/>
      <c r="B1017" s="71"/>
      <c r="C1017" s="63" t="s">
        <v>596</v>
      </c>
      <c r="D1017" s="63"/>
      <c r="E1017" s="63">
        <v>2</v>
      </c>
      <c r="F1017" s="63"/>
      <c r="G1017" s="64">
        <f t="shared" si="105"/>
        <v>0</v>
      </c>
      <c r="H1017" s="252"/>
      <c r="I1017" s="57"/>
      <c r="J1017" s="57"/>
      <c r="K1017" s="57"/>
      <c r="L1017" s="57"/>
      <c r="M1017" s="57"/>
      <c r="N1017" s="58"/>
      <c r="O1017" s="58"/>
      <c r="P1017" s="58"/>
      <c r="Q1017" s="58"/>
      <c r="R1017" s="58"/>
      <c r="S1017" s="58"/>
      <c r="T1017" s="58"/>
      <c r="U1017" s="58"/>
    </row>
    <row r="1018" spans="1:21" s="59" customFormat="1" ht="12" customHeight="1" x14ac:dyDescent="0.25">
      <c r="A1018" s="66"/>
      <c r="B1018" s="71"/>
      <c r="C1018" s="63" t="s">
        <v>597</v>
      </c>
      <c r="D1018" s="63"/>
      <c r="E1018" s="63">
        <f>E1017</f>
        <v>2</v>
      </c>
      <c r="F1018" s="63"/>
      <c r="G1018" s="64">
        <f t="shared" si="105"/>
        <v>0</v>
      </c>
      <c r="H1018" s="252"/>
      <c r="I1018" s="57"/>
      <c r="J1018" s="57"/>
      <c r="K1018" s="57"/>
      <c r="L1018" s="57"/>
      <c r="M1018" s="57"/>
      <c r="N1018" s="58"/>
      <c r="O1018" s="58"/>
      <c r="P1018" s="58"/>
      <c r="Q1018" s="58"/>
      <c r="R1018" s="58"/>
      <c r="S1018" s="58"/>
      <c r="T1018" s="58"/>
      <c r="U1018" s="58"/>
    </row>
    <row r="1019" spans="1:21" s="59" customFormat="1" ht="12" customHeight="1" x14ac:dyDescent="0.25">
      <c r="A1019" s="66"/>
      <c r="B1019" s="71"/>
      <c r="C1019" s="63" t="s">
        <v>598</v>
      </c>
      <c r="D1019" s="63"/>
      <c r="E1019" s="63">
        <v>2</v>
      </c>
      <c r="F1019" s="63"/>
      <c r="G1019" s="64">
        <f t="shared" si="105"/>
        <v>0</v>
      </c>
      <c r="H1019" s="252"/>
      <c r="I1019" s="57"/>
      <c r="J1019" s="57"/>
      <c r="K1019" s="57"/>
      <c r="L1019" s="57"/>
      <c r="M1019" s="57"/>
      <c r="N1019" s="58"/>
      <c r="O1019" s="58"/>
      <c r="P1019" s="58"/>
      <c r="Q1019" s="58"/>
      <c r="R1019" s="58"/>
      <c r="S1019" s="58"/>
      <c r="T1019" s="58"/>
      <c r="U1019" s="58"/>
    </row>
    <row r="1020" spans="1:21" s="59" customFormat="1" ht="12" customHeight="1" x14ac:dyDescent="0.25">
      <c r="A1020" s="66"/>
      <c r="B1020" s="71"/>
      <c r="C1020" s="63" t="s">
        <v>599</v>
      </c>
      <c r="D1020" s="63"/>
      <c r="E1020" s="63">
        <v>5</v>
      </c>
      <c r="F1020" s="63"/>
      <c r="G1020" s="64">
        <f t="shared" si="105"/>
        <v>0</v>
      </c>
      <c r="H1020" s="252"/>
      <c r="I1020" s="57"/>
      <c r="J1020" s="57"/>
      <c r="K1020" s="57"/>
      <c r="L1020" s="57"/>
      <c r="M1020" s="57"/>
      <c r="N1020" s="58"/>
      <c r="O1020" s="58"/>
      <c r="P1020" s="58"/>
      <c r="Q1020" s="58"/>
      <c r="R1020" s="58"/>
      <c r="S1020" s="58"/>
      <c r="T1020" s="58"/>
      <c r="U1020" s="58"/>
    </row>
    <row r="1021" spans="1:21" s="59" customFormat="1" ht="12" customHeight="1" x14ac:dyDescent="0.25">
      <c r="A1021" s="66"/>
      <c r="B1021" s="71"/>
      <c r="C1021" s="63" t="s">
        <v>600</v>
      </c>
      <c r="D1021" s="63"/>
      <c r="E1021" s="63">
        <v>4</v>
      </c>
      <c r="F1021" s="63"/>
      <c r="G1021" s="64">
        <f t="shared" si="105"/>
        <v>0</v>
      </c>
      <c r="H1021" s="252"/>
      <c r="I1021" s="57"/>
      <c r="J1021" s="57"/>
      <c r="K1021" s="57"/>
      <c r="L1021" s="57"/>
      <c r="M1021" s="57"/>
      <c r="N1021" s="58"/>
      <c r="O1021" s="58"/>
      <c r="P1021" s="58"/>
      <c r="Q1021" s="58"/>
      <c r="R1021" s="58"/>
      <c r="S1021" s="58"/>
      <c r="T1021" s="58"/>
      <c r="U1021" s="58"/>
    </row>
    <row r="1022" spans="1:21" s="59" customFormat="1" ht="21.75" customHeight="1" x14ac:dyDescent="0.25">
      <c r="A1022" s="66"/>
      <c r="B1022" s="70"/>
      <c r="C1022" s="208" t="s">
        <v>602</v>
      </c>
      <c r="D1022" s="63">
        <v>300000</v>
      </c>
      <c r="E1022" s="63">
        <f>SUM(E1012:E1021)</f>
        <v>33</v>
      </c>
      <c r="F1022" s="63">
        <v>2</v>
      </c>
      <c r="G1022" s="64">
        <f t="shared" si="105"/>
        <v>19800000</v>
      </c>
      <c r="H1022" s="252"/>
      <c r="I1022" s="57"/>
      <c r="J1022" s="57"/>
      <c r="K1022" s="57"/>
      <c r="L1022" s="57"/>
      <c r="M1022" s="57"/>
      <c r="N1022" s="58"/>
      <c r="O1022" s="58"/>
      <c r="P1022" s="58"/>
      <c r="Q1022" s="58"/>
      <c r="R1022" s="58"/>
      <c r="S1022" s="58"/>
      <c r="T1022" s="58"/>
      <c r="U1022" s="58"/>
    </row>
    <row r="1023" spans="1:21" s="59" customFormat="1" ht="12" customHeight="1" x14ac:dyDescent="0.25">
      <c r="A1023" s="66"/>
      <c r="B1023" s="70"/>
      <c r="C1023" s="63" t="s">
        <v>60</v>
      </c>
      <c r="D1023" s="63">
        <f>G1023/E1023</f>
        <v>56181.818181818184</v>
      </c>
      <c r="E1023" s="63">
        <f>E1022</f>
        <v>33</v>
      </c>
      <c r="F1023" s="63">
        <v>2</v>
      </c>
      <c r="G1023" s="64">
        <v>1854000</v>
      </c>
      <c r="H1023" s="252"/>
      <c r="I1023" s="57"/>
      <c r="J1023" s="57"/>
      <c r="K1023" s="57"/>
      <c r="L1023" s="57"/>
      <c r="M1023" s="57"/>
      <c r="N1023" s="58"/>
      <c r="O1023" s="58"/>
      <c r="P1023" s="58"/>
      <c r="Q1023" s="58"/>
      <c r="R1023" s="58"/>
      <c r="S1023" s="58"/>
      <c r="T1023" s="58"/>
      <c r="U1023" s="58"/>
    </row>
    <row r="1024" spans="1:21" s="59" customFormat="1" ht="12" customHeight="1" x14ac:dyDescent="0.25">
      <c r="A1024" s="66"/>
      <c r="B1024" s="70"/>
      <c r="C1024" s="63" t="s">
        <v>147</v>
      </c>
      <c r="D1024" s="63">
        <f>G1024/E1024/F1024</f>
        <v>182857.14285714287</v>
      </c>
      <c r="E1024" s="63">
        <v>7</v>
      </c>
      <c r="F1024" s="63">
        <v>2</v>
      </c>
      <c r="G1024" s="64">
        <v>2560000</v>
      </c>
      <c r="H1024" s="252"/>
      <c r="I1024" s="57"/>
      <c r="J1024" s="57"/>
      <c r="K1024" s="57"/>
      <c r="L1024" s="57"/>
      <c r="M1024" s="57"/>
      <c r="N1024" s="58"/>
      <c r="O1024" s="58"/>
      <c r="P1024" s="58"/>
      <c r="Q1024" s="58"/>
      <c r="R1024" s="58"/>
      <c r="S1024" s="58"/>
      <c r="T1024" s="58"/>
      <c r="U1024" s="58"/>
    </row>
    <row r="1025" spans="1:21" s="59" customFormat="1" ht="12" customHeight="1" thickBot="1" x14ac:dyDescent="0.3">
      <c r="A1025" s="66"/>
      <c r="B1025" s="71"/>
      <c r="C1025" s="63"/>
      <c r="D1025" s="63"/>
      <c r="E1025" s="63"/>
      <c r="F1025" s="63"/>
      <c r="G1025" s="64"/>
      <c r="H1025" s="252"/>
      <c r="I1025" s="57"/>
      <c r="J1025" s="57"/>
      <c r="K1025" s="57"/>
      <c r="L1025" s="57"/>
      <c r="M1025" s="57"/>
      <c r="N1025" s="58"/>
      <c r="O1025" s="58"/>
      <c r="P1025" s="58"/>
      <c r="Q1025" s="58"/>
      <c r="R1025" s="58"/>
      <c r="S1025" s="58"/>
      <c r="T1025" s="58"/>
      <c r="U1025" s="58"/>
    </row>
    <row r="1026" spans="1:21" s="59" customFormat="1" ht="12" customHeight="1" thickBot="1" x14ac:dyDescent="0.3">
      <c r="A1026" s="66"/>
      <c r="B1026" s="71"/>
      <c r="C1026" s="72" t="s">
        <v>140</v>
      </c>
      <c r="D1026" s="72"/>
      <c r="E1026" s="72"/>
      <c r="F1026" s="72"/>
      <c r="G1026" s="73">
        <f>SUM(G1012:G1025)</f>
        <v>24364000</v>
      </c>
      <c r="H1026" s="253">
        <f>G1026/8136</f>
        <v>2994.591937069813</v>
      </c>
      <c r="I1026" s="57"/>
      <c r="J1026" s="57"/>
      <c r="K1026" s="57"/>
      <c r="L1026" s="57"/>
      <c r="M1026" s="57"/>
      <c r="N1026" s="58"/>
      <c r="O1026" s="58"/>
      <c r="P1026" s="58"/>
      <c r="Q1026" s="58"/>
      <c r="R1026" s="58"/>
      <c r="S1026" s="58"/>
      <c r="T1026" s="58"/>
      <c r="U1026" s="58"/>
    </row>
    <row r="1027" spans="1:21" s="59" customFormat="1" ht="12" customHeight="1" x14ac:dyDescent="0.25">
      <c r="A1027" s="66"/>
      <c r="B1027" s="71"/>
      <c r="C1027" s="63"/>
      <c r="D1027" s="63"/>
      <c r="E1027" s="63"/>
      <c r="F1027" s="63"/>
      <c r="G1027" s="64"/>
      <c r="H1027" s="252"/>
      <c r="I1027" s="57"/>
      <c r="J1027" s="57"/>
      <c r="K1027" s="57"/>
      <c r="L1027" s="57"/>
      <c r="M1027" s="57"/>
      <c r="N1027" s="58"/>
      <c r="O1027" s="58"/>
      <c r="P1027" s="58"/>
      <c r="Q1027" s="58"/>
      <c r="R1027" s="58"/>
      <c r="S1027" s="58"/>
      <c r="T1027" s="58"/>
      <c r="U1027" s="58"/>
    </row>
    <row r="1028" spans="1:21" s="59" customFormat="1" ht="12" customHeight="1" thickBot="1" x14ac:dyDescent="0.3">
      <c r="A1028" s="213"/>
      <c r="B1028" s="214"/>
      <c r="C1028" s="214"/>
      <c r="D1028" s="215"/>
      <c r="E1028" s="215"/>
      <c r="F1028" s="216"/>
      <c r="G1028" s="217"/>
      <c r="H1028" s="252"/>
      <c r="I1028" s="57"/>
      <c r="J1028" s="57"/>
      <c r="K1028" s="57"/>
      <c r="L1028" s="57"/>
      <c r="M1028" s="57"/>
      <c r="N1028" s="58"/>
      <c r="O1028" s="58"/>
      <c r="P1028" s="58"/>
      <c r="Q1028" s="58"/>
      <c r="R1028" s="58"/>
      <c r="S1028" s="58"/>
      <c r="T1028" s="58"/>
      <c r="U1028" s="58"/>
    </row>
    <row r="1029" spans="1:21" s="59" customFormat="1" ht="12" customHeight="1" thickBot="1" x14ac:dyDescent="0.3">
      <c r="A1029" s="66"/>
      <c r="B1029" s="254"/>
      <c r="C1029" s="254"/>
      <c r="D1029" s="72"/>
      <c r="E1029" s="72"/>
      <c r="F1029" s="63"/>
      <c r="G1029" s="255"/>
      <c r="H1029" s="58"/>
      <c r="I1029" s="58"/>
      <c r="J1029" s="58"/>
      <c r="K1029" s="58"/>
      <c r="L1029" s="58"/>
      <c r="M1029" s="58"/>
      <c r="N1029" s="58"/>
      <c r="O1029" s="58"/>
    </row>
    <row r="1030" spans="1:21" s="260" customFormat="1" ht="12" customHeight="1" x14ac:dyDescent="0.25">
      <c r="A1030" s="207">
        <v>9</v>
      </c>
      <c r="B1030" s="256" t="s">
        <v>603</v>
      </c>
      <c r="C1030" s="53" t="s">
        <v>604</v>
      </c>
      <c r="D1030" s="53">
        <v>70000</v>
      </c>
      <c r="E1030" s="53">
        <v>4</v>
      </c>
      <c r="F1030" s="53">
        <v>5</v>
      </c>
      <c r="G1030" s="257">
        <f>D1030*E1030*F1030</f>
        <v>1400000</v>
      </c>
      <c r="H1030" s="258"/>
      <c r="I1030" s="259"/>
      <c r="J1030" s="259"/>
      <c r="K1030" s="259"/>
      <c r="L1030" s="259"/>
      <c r="M1030" s="259"/>
      <c r="N1030" s="259"/>
      <c r="O1030" s="259"/>
      <c r="P1030" s="259"/>
    </row>
    <row r="1031" spans="1:21" s="260" customFormat="1" ht="15" x14ac:dyDescent="0.25">
      <c r="A1031" s="66"/>
      <c r="B1031" s="228"/>
      <c r="C1031" s="63" t="s">
        <v>605</v>
      </c>
      <c r="D1031" s="63">
        <v>10000</v>
      </c>
      <c r="E1031" s="63">
        <v>50</v>
      </c>
      <c r="F1031" s="63">
        <v>1</v>
      </c>
      <c r="G1031" s="261">
        <f>D1031*E1031*F1031</f>
        <v>500000</v>
      </c>
      <c r="H1031" s="258"/>
      <c r="I1031" s="259"/>
      <c r="J1031" s="259"/>
      <c r="K1031" s="259"/>
      <c r="L1031" s="259"/>
      <c r="M1031" s="259"/>
      <c r="N1031" s="259"/>
      <c r="O1031" s="259"/>
      <c r="P1031" s="259"/>
    </row>
    <row r="1032" spans="1:21" s="260" customFormat="1" ht="12" customHeight="1" x14ac:dyDescent="0.25">
      <c r="A1032" s="66"/>
      <c r="B1032" s="247"/>
      <c r="C1032" s="63" t="s">
        <v>606</v>
      </c>
      <c r="D1032" s="63">
        <v>70000</v>
      </c>
      <c r="E1032" s="63">
        <v>4</v>
      </c>
      <c r="F1032" s="63">
        <v>5</v>
      </c>
      <c r="G1032" s="261">
        <f>D1032*E1032*F1032</f>
        <v>1400000</v>
      </c>
      <c r="H1032" s="258"/>
      <c r="I1032" s="259"/>
      <c r="J1032" s="259"/>
      <c r="K1032" s="259"/>
      <c r="L1032" s="259"/>
      <c r="M1032" s="259"/>
      <c r="N1032" s="259"/>
      <c r="O1032" s="259"/>
      <c r="P1032" s="259"/>
    </row>
    <row r="1033" spans="1:21" s="260" customFormat="1" ht="12" customHeight="1" thickBot="1" x14ac:dyDescent="0.3">
      <c r="A1033" s="66"/>
      <c r="B1033" s="247"/>
      <c r="C1033" s="63"/>
      <c r="D1033" s="63"/>
      <c r="E1033" s="63"/>
      <c r="F1033" s="63"/>
      <c r="G1033" s="262"/>
      <c r="H1033" s="258"/>
      <c r="I1033" s="259"/>
      <c r="J1033" s="259"/>
      <c r="K1033" s="259"/>
      <c r="L1033" s="259"/>
      <c r="M1033" s="259"/>
      <c r="N1033" s="259"/>
      <c r="O1033" s="259"/>
      <c r="P1033" s="259"/>
    </row>
    <row r="1034" spans="1:21" s="260" customFormat="1" ht="12" customHeight="1" thickBot="1" x14ac:dyDescent="0.3">
      <c r="A1034" s="66"/>
      <c r="B1034" s="71"/>
      <c r="C1034" s="72" t="s">
        <v>140</v>
      </c>
      <c r="D1034" s="72"/>
      <c r="E1034" s="72"/>
      <c r="F1034" s="72"/>
      <c r="G1034" s="263">
        <f>SUM(G1030:G1032)</f>
        <v>3300000</v>
      </c>
      <c r="H1034" s="264">
        <f>G1034/8136</f>
        <v>405.6047197640118</v>
      </c>
      <c r="I1034" s="258"/>
      <c r="J1034" s="259"/>
      <c r="K1034" s="259"/>
      <c r="L1034" s="259"/>
      <c r="M1034" s="259"/>
      <c r="N1034" s="259"/>
      <c r="O1034" s="259"/>
      <c r="P1034" s="259"/>
    </row>
    <row r="1035" spans="1:21" s="59" customFormat="1" ht="12" customHeight="1" thickBot="1" x14ac:dyDescent="0.3">
      <c r="A1035" s="213"/>
      <c r="B1035" s="214"/>
      <c r="C1035" s="214"/>
      <c r="D1035" s="215"/>
      <c r="E1035" s="215"/>
      <c r="F1035" s="216"/>
      <c r="G1035" s="217"/>
      <c r="H1035" s="58"/>
      <c r="I1035" s="58"/>
      <c r="J1035" s="58"/>
      <c r="K1035" s="58"/>
      <c r="L1035" s="58"/>
      <c r="M1035" s="58"/>
      <c r="N1035" s="58"/>
      <c r="O1035" s="58"/>
    </row>
    <row r="1036" spans="1:21" s="57" customFormat="1" ht="12.75" thickBot="1" x14ac:dyDescent="0.3">
      <c r="H1036" s="55"/>
    </row>
    <row r="1037" spans="1:21" s="260" customFormat="1" ht="12" customHeight="1" x14ac:dyDescent="0.25">
      <c r="A1037" s="207">
        <v>10</v>
      </c>
      <c r="B1037" s="750" t="s">
        <v>607</v>
      </c>
      <c r="C1037" s="53" t="s">
        <v>604</v>
      </c>
      <c r="D1037" s="53">
        <v>70000</v>
      </c>
      <c r="E1037" s="53">
        <v>5</v>
      </c>
      <c r="F1037" s="53">
        <v>5</v>
      </c>
      <c r="G1037" s="257">
        <f>D1037*E1037*F1037</f>
        <v>1750000</v>
      </c>
      <c r="H1037" s="258"/>
      <c r="I1037" s="259"/>
      <c r="J1037" s="259"/>
      <c r="K1037" s="259"/>
      <c r="L1037" s="259"/>
      <c r="M1037" s="259"/>
      <c r="N1037" s="259"/>
      <c r="O1037" s="259"/>
      <c r="P1037" s="259"/>
    </row>
    <row r="1038" spans="1:21" s="260" customFormat="1" ht="15" x14ac:dyDescent="0.25">
      <c r="A1038" s="66"/>
      <c r="B1038" s="751"/>
      <c r="C1038" s="63" t="s">
        <v>605</v>
      </c>
      <c r="D1038" s="63">
        <v>10000</v>
      </c>
      <c r="E1038" s="63">
        <v>50</v>
      </c>
      <c r="F1038" s="63">
        <v>1</v>
      </c>
      <c r="G1038" s="261">
        <f>D1038*E1038*F1038</f>
        <v>500000</v>
      </c>
      <c r="H1038" s="258"/>
      <c r="I1038" s="259"/>
      <c r="J1038" s="259"/>
      <c r="K1038" s="259"/>
      <c r="L1038" s="259"/>
      <c r="M1038" s="259"/>
      <c r="N1038" s="259"/>
      <c r="O1038" s="259"/>
      <c r="P1038" s="259"/>
    </row>
    <row r="1039" spans="1:21" s="260" customFormat="1" ht="12" customHeight="1" x14ac:dyDescent="0.25">
      <c r="A1039" s="66"/>
      <c r="B1039" s="247"/>
      <c r="C1039" s="63" t="s">
        <v>608</v>
      </c>
      <c r="D1039" s="63">
        <f>G1039/E1039/F1039</f>
        <v>124800</v>
      </c>
      <c r="E1039" s="63">
        <v>5</v>
      </c>
      <c r="F1039" s="63">
        <v>5</v>
      </c>
      <c r="G1039" s="261">
        <v>3120000</v>
      </c>
      <c r="H1039" s="258"/>
      <c r="I1039" s="259"/>
      <c r="J1039" s="259"/>
      <c r="K1039" s="259"/>
      <c r="L1039" s="259"/>
      <c r="M1039" s="259"/>
      <c r="N1039" s="259"/>
      <c r="O1039" s="259"/>
      <c r="P1039" s="259"/>
    </row>
    <row r="1040" spans="1:21" s="260" customFormat="1" ht="12" customHeight="1" thickBot="1" x14ac:dyDescent="0.3">
      <c r="A1040" s="66"/>
      <c r="B1040" s="247"/>
      <c r="C1040" s="63"/>
      <c r="D1040" s="63"/>
      <c r="E1040" s="63"/>
      <c r="F1040" s="63"/>
      <c r="G1040" s="262"/>
      <c r="H1040" s="258"/>
      <c r="I1040" s="259"/>
      <c r="J1040" s="259"/>
      <c r="K1040" s="259"/>
      <c r="L1040" s="259"/>
      <c r="M1040" s="259"/>
      <c r="N1040" s="259"/>
      <c r="O1040" s="259"/>
      <c r="P1040" s="259"/>
    </row>
    <row r="1041" spans="1:21" s="260" customFormat="1" ht="12" customHeight="1" thickBot="1" x14ac:dyDescent="0.3">
      <c r="A1041" s="66"/>
      <c r="B1041" s="71"/>
      <c r="C1041" s="72" t="s">
        <v>140</v>
      </c>
      <c r="D1041" s="72"/>
      <c r="E1041" s="72"/>
      <c r="F1041" s="72"/>
      <c r="G1041" s="263">
        <f>SUM(G1037:G1039)</f>
        <v>5370000</v>
      </c>
      <c r="H1041" s="264">
        <f>G1041/8136</f>
        <v>660.02949852507379</v>
      </c>
      <c r="I1041" s="258"/>
      <c r="J1041" s="259"/>
      <c r="K1041" s="259"/>
      <c r="L1041" s="259"/>
      <c r="M1041" s="259"/>
      <c r="N1041" s="259"/>
      <c r="O1041" s="259"/>
      <c r="P1041" s="259"/>
    </row>
    <row r="1042" spans="1:21" s="59" customFormat="1" ht="12" customHeight="1" thickBot="1" x14ac:dyDescent="0.3">
      <c r="A1042" s="213"/>
      <c r="B1042" s="214"/>
      <c r="C1042" s="214"/>
      <c r="D1042" s="215"/>
      <c r="E1042" s="215"/>
      <c r="F1042" s="216"/>
      <c r="G1042" s="217"/>
      <c r="H1042" s="58"/>
      <c r="I1042" s="58"/>
      <c r="J1042" s="58"/>
      <c r="K1042" s="58"/>
      <c r="L1042" s="58"/>
      <c r="M1042" s="58"/>
      <c r="N1042" s="58"/>
      <c r="O1042" s="58"/>
    </row>
    <row r="1043" spans="1:21" customFormat="1" ht="12" customHeight="1" thickBot="1" x14ac:dyDescent="0.3">
      <c r="A1043" s="66"/>
      <c r="B1043" s="254"/>
      <c r="C1043" s="265"/>
      <c r="D1043" s="266"/>
      <c r="E1043" s="267"/>
      <c r="F1043" s="266"/>
      <c r="G1043" s="255"/>
      <c r="H1043" s="55"/>
      <c r="I1043" s="224"/>
      <c r="J1043" s="224"/>
      <c r="K1043" s="224"/>
      <c r="L1043" s="224"/>
      <c r="M1043" s="224"/>
      <c r="N1043" s="224"/>
      <c r="O1043" s="224"/>
      <c r="P1043" s="224"/>
    </row>
    <row r="1044" spans="1:21" s="59" customFormat="1" ht="12" customHeight="1" x14ac:dyDescent="0.25">
      <c r="A1044" s="207">
        <v>11</v>
      </c>
      <c r="B1044" s="757" t="s">
        <v>609</v>
      </c>
      <c r="C1044" s="53" t="s">
        <v>39</v>
      </c>
      <c r="D1044" s="53">
        <v>150000</v>
      </c>
      <c r="E1044" s="53">
        <v>1</v>
      </c>
      <c r="F1044" s="53">
        <v>1</v>
      </c>
      <c r="G1044" s="54">
        <f t="shared" ref="G1044:G1057" si="106">D1044*E1044*F1044</f>
        <v>150000</v>
      </c>
      <c r="H1044" s="252"/>
      <c r="I1044" s="57"/>
      <c r="J1044" s="57"/>
      <c r="K1044" s="57"/>
      <c r="L1044" s="57"/>
      <c r="M1044" s="57"/>
      <c r="N1044" s="58"/>
      <c r="O1044" s="58"/>
      <c r="P1044" s="58"/>
      <c r="Q1044" s="58"/>
      <c r="R1044" s="58"/>
      <c r="S1044" s="58"/>
      <c r="T1044" s="58"/>
      <c r="U1044" s="58"/>
    </row>
    <row r="1045" spans="1:21" s="59" customFormat="1" ht="12" customHeight="1" x14ac:dyDescent="0.25">
      <c r="A1045" s="66"/>
      <c r="B1045" s="758"/>
      <c r="C1045" s="63" t="s">
        <v>445</v>
      </c>
      <c r="D1045" s="63">
        <v>270000</v>
      </c>
      <c r="E1045" s="63">
        <v>1</v>
      </c>
      <c r="F1045" s="63">
        <v>5</v>
      </c>
      <c r="G1045" s="64">
        <f t="shared" si="106"/>
        <v>1350000</v>
      </c>
      <c r="H1045" s="252"/>
      <c r="I1045" s="57"/>
      <c r="J1045" s="57"/>
      <c r="K1045" s="57"/>
      <c r="L1045" s="57"/>
      <c r="M1045" s="57"/>
      <c r="N1045" s="58"/>
      <c r="O1045" s="58"/>
      <c r="P1045" s="58"/>
      <c r="Q1045" s="58"/>
      <c r="R1045" s="58"/>
      <c r="S1045" s="58"/>
      <c r="T1045" s="58"/>
      <c r="U1045" s="58"/>
    </row>
    <row r="1046" spans="1:21" s="59" customFormat="1" ht="12" customHeight="1" x14ac:dyDescent="0.25">
      <c r="A1046" s="66"/>
      <c r="B1046" s="758"/>
      <c r="C1046" s="63" t="s">
        <v>446</v>
      </c>
      <c r="D1046" s="63">
        <v>100000</v>
      </c>
      <c r="E1046" s="63">
        <v>1</v>
      </c>
      <c r="F1046" s="63">
        <v>1</v>
      </c>
      <c r="G1046" s="64">
        <f t="shared" si="106"/>
        <v>100000</v>
      </c>
      <c r="H1046" s="252"/>
      <c r="I1046" s="57"/>
      <c r="J1046" s="57"/>
      <c r="K1046" s="57"/>
      <c r="L1046" s="57"/>
      <c r="M1046" s="57"/>
      <c r="N1046" s="58"/>
      <c r="O1046" s="58"/>
      <c r="P1046" s="58"/>
      <c r="Q1046" s="58"/>
      <c r="R1046" s="58"/>
      <c r="S1046" s="58"/>
      <c r="T1046" s="58"/>
      <c r="U1046" s="58"/>
    </row>
    <row r="1047" spans="1:21" s="59" customFormat="1" ht="25.5" customHeight="1" x14ac:dyDescent="0.25">
      <c r="A1047" s="66"/>
      <c r="B1047" s="268"/>
      <c r="C1047" s="208" t="s">
        <v>610</v>
      </c>
      <c r="D1047" s="63">
        <v>250000</v>
      </c>
      <c r="E1047" s="63">
        <v>8</v>
      </c>
      <c r="F1047" s="63">
        <v>5</v>
      </c>
      <c r="G1047" s="64">
        <f t="shared" si="106"/>
        <v>10000000</v>
      </c>
      <c r="H1047" s="252"/>
      <c r="I1047" s="57"/>
      <c r="J1047" s="57"/>
      <c r="K1047" s="57"/>
      <c r="L1047" s="57"/>
      <c r="M1047" s="57"/>
      <c r="N1047" s="58"/>
      <c r="O1047" s="58"/>
      <c r="P1047" s="58"/>
      <c r="Q1047" s="58"/>
      <c r="R1047" s="58"/>
      <c r="S1047" s="58"/>
      <c r="T1047" s="58"/>
      <c r="U1047" s="58"/>
    </row>
    <row r="1048" spans="1:21" s="59" customFormat="1" ht="25.5" customHeight="1" x14ac:dyDescent="0.25">
      <c r="A1048" s="66"/>
      <c r="B1048" s="71"/>
      <c r="C1048" s="208" t="s">
        <v>611</v>
      </c>
      <c r="D1048" s="63">
        <v>100000</v>
      </c>
      <c r="E1048" s="63">
        <f>E1047</f>
        <v>8</v>
      </c>
      <c r="F1048" s="63">
        <v>1</v>
      </c>
      <c r="G1048" s="64">
        <f t="shared" si="106"/>
        <v>800000</v>
      </c>
      <c r="H1048" s="252"/>
      <c r="I1048" s="57"/>
      <c r="J1048" s="57"/>
      <c r="K1048" s="57"/>
      <c r="L1048" s="57"/>
      <c r="M1048" s="57"/>
      <c r="N1048" s="58"/>
      <c r="O1048" s="58"/>
      <c r="P1048" s="58"/>
      <c r="Q1048" s="58"/>
      <c r="R1048" s="58"/>
      <c r="S1048" s="58"/>
      <c r="T1048" s="58"/>
      <c r="U1048" s="58"/>
    </row>
    <row r="1049" spans="1:21" s="59" customFormat="1" ht="12.75" customHeight="1" x14ac:dyDescent="0.25">
      <c r="A1049" s="66"/>
      <c r="B1049" s="71"/>
      <c r="C1049" s="63" t="s">
        <v>612</v>
      </c>
      <c r="D1049" s="63">
        <f>D1047</f>
        <v>250000</v>
      </c>
      <c r="E1049" s="63">
        <v>4</v>
      </c>
      <c r="F1049" s="63">
        <v>5</v>
      </c>
      <c r="G1049" s="64">
        <f t="shared" si="106"/>
        <v>5000000</v>
      </c>
      <c r="H1049" s="252"/>
      <c r="I1049" s="57"/>
      <c r="J1049" s="57"/>
      <c r="K1049" s="57"/>
      <c r="L1049" s="57"/>
      <c r="M1049" s="57"/>
      <c r="N1049" s="58"/>
      <c r="O1049" s="58"/>
      <c r="P1049" s="58"/>
      <c r="Q1049" s="58"/>
      <c r="R1049" s="58"/>
      <c r="S1049" s="58"/>
      <c r="T1049" s="58"/>
      <c r="U1049" s="58"/>
    </row>
    <row r="1050" spans="1:21" s="59" customFormat="1" ht="12.75" customHeight="1" x14ac:dyDescent="0.25">
      <c r="A1050" s="66"/>
      <c r="B1050" s="71"/>
      <c r="C1050" s="63" t="s">
        <v>613</v>
      </c>
      <c r="D1050" s="63">
        <v>100000</v>
      </c>
      <c r="E1050" s="63">
        <f>E1049</f>
        <v>4</v>
      </c>
      <c r="F1050" s="63">
        <v>1</v>
      </c>
      <c r="G1050" s="64">
        <f t="shared" si="106"/>
        <v>400000</v>
      </c>
      <c r="H1050" s="252"/>
      <c r="I1050" s="57"/>
      <c r="J1050" s="57"/>
      <c r="K1050" s="57"/>
      <c r="L1050" s="57"/>
      <c r="M1050" s="57"/>
      <c r="N1050" s="58"/>
      <c r="O1050" s="58"/>
      <c r="P1050" s="58"/>
      <c r="Q1050" s="58"/>
      <c r="R1050" s="58"/>
      <c r="S1050" s="58"/>
      <c r="T1050" s="58"/>
      <c r="U1050" s="58"/>
    </row>
    <row r="1051" spans="1:21" s="59" customFormat="1" ht="15" x14ac:dyDescent="0.25">
      <c r="A1051" s="66"/>
      <c r="B1051" s="71"/>
      <c r="C1051" s="208" t="s">
        <v>614</v>
      </c>
      <c r="D1051" s="63">
        <v>250000</v>
      </c>
      <c r="E1051" s="63">
        <v>3</v>
      </c>
      <c r="F1051" s="63">
        <v>5</v>
      </c>
      <c r="G1051" s="64">
        <f t="shared" si="106"/>
        <v>3750000</v>
      </c>
      <c r="H1051" s="252"/>
      <c r="I1051" s="57"/>
      <c r="J1051" s="57"/>
      <c r="K1051" s="57"/>
      <c r="L1051" s="57"/>
      <c r="M1051" s="57"/>
      <c r="N1051" s="58"/>
      <c r="O1051" s="58"/>
      <c r="P1051" s="58"/>
      <c r="Q1051" s="58"/>
      <c r="R1051" s="58"/>
      <c r="S1051" s="58"/>
      <c r="T1051" s="58"/>
      <c r="U1051" s="58"/>
    </row>
    <row r="1052" spans="1:21" s="59" customFormat="1" ht="15" x14ac:dyDescent="0.25">
      <c r="A1052" s="66"/>
      <c r="B1052" s="71"/>
      <c r="C1052" s="208" t="s">
        <v>615</v>
      </c>
      <c r="D1052" s="63">
        <v>100000</v>
      </c>
      <c r="E1052" s="63">
        <f>E1051</f>
        <v>3</v>
      </c>
      <c r="F1052" s="63">
        <v>1</v>
      </c>
      <c r="G1052" s="64">
        <f t="shared" si="106"/>
        <v>300000</v>
      </c>
      <c r="H1052" s="252"/>
      <c r="I1052" s="57"/>
      <c r="J1052" s="57"/>
      <c r="K1052" s="57"/>
      <c r="L1052" s="57"/>
      <c r="M1052" s="57"/>
      <c r="N1052" s="58"/>
      <c r="O1052" s="58"/>
      <c r="P1052" s="58"/>
      <c r="Q1052" s="58"/>
      <c r="R1052" s="58"/>
      <c r="S1052" s="58"/>
      <c r="T1052" s="58"/>
      <c r="U1052" s="58"/>
    </row>
    <row r="1053" spans="1:21" s="59" customFormat="1" ht="12" customHeight="1" x14ac:dyDescent="0.25">
      <c r="A1053" s="66"/>
      <c r="B1053" s="71"/>
      <c r="C1053" s="63" t="s">
        <v>616</v>
      </c>
      <c r="D1053" s="63">
        <v>250000</v>
      </c>
      <c r="E1053" s="63">
        <v>3</v>
      </c>
      <c r="F1053" s="63">
        <v>5</v>
      </c>
      <c r="G1053" s="64">
        <f t="shared" si="106"/>
        <v>3750000</v>
      </c>
      <c r="H1053" s="252"/>
      <c r="I1053" s="57"/>
      <c r="J1053" s="57"/>
      <c r="K1053" s="57"/>
      <c r="L1053" s="57"/>
      <c r="M1053" s="57"/>
      <c r="N1053" s="58"/>
      <c r="O1053" s="58"/>
      <c r="P1053" s="58"/>
      <c r="Q1053" s="58"/>
      <c r="R1053" s="58"/>
      <c r="S1053" s="58"/>
      <c r="T1053" s="58"/>
      <c r="U1053" s="58"/>
    </row>
    <row r="1054" spans="1:21" s="59" customFormat="1" ht="12" customHeight="1" x14ac:dyDescent="0.25">
      <c r="A1054" s="66"/>
      <c r="B1054" s="71"/>
      <c r="C1054" s="63" t="s">
        <v>617</v>
      </c>
      <c r="D1054" s="63">
        <v>100000</v>
      </c>
      <c r="E1054" s="63">
        <f>E1053</f>
        <v>3</v>
      </c>
      <c r="F1054" s="63">
        <v>1</v>
      </c>
      <c r="G1054" s="64">
        <f t="shared" si="106"/>
        <v>300000</v>
      </c>
      <c r="H1054" s="252"/>
      <c r="I1054" s="57"/>
      <c r="J1054" s="57"/>
      <c r="K1054" s="57"/>
      <c r="L1054" s="57"/>
      <c r="M1054" s="57"/>
      <c r="N1054" s="58"/>
      <c r="O1054" s="58"/>
      <c r="P1054" s="58"/>
      <c r="Q1054" s="58"/>
      <c r="R1054" s="58"/>
      <c r="S1054" s="58"/>
      <c r="T1054" s="58"/>
      <c r="U1054" s="58"/>
    </row>
    <row r="1055" spans="1:21" s="59" customFormat="1" ht="15" x14ac:dyDescent="0.25">
      <c r="A1055" s="66"/>
      <c r="B1055" s="71"/>
      <c r="C1055" s="209" t="s">
        <v>618</v>
      </c>
      <c r="D1055" s="63">
        <v>250000</v>
      </c>
      <c r="E1055" s="63">
        <v>2</v>
      </c>
      <c r="F1055" s="63">
        <v>5</v>
      </c>
      <c r="G1055" s="64">
        <f t="shared" si="106"/>
        <v>2500000</v>
      </c>
      <c r="H1055" s="252"/>
      <c r="I1055" s="57"/>
      <c r="J1055" s="57"/>
      <c r="K1055" s="57"/>
      <c r="L1055" s="57"/>
      <c r="M1055" s="57"/>
      <c r="N1055" s="58"/>
      <c r="O1055" s="58"/>
      <c r="P1055" s="58"/>
      <c r="Q1055" s="58"/>
      <c r="R1055" s="58"/>
      <c r="S1055" s="58"/>
      <c r="T1055" s="58"/>
      <c r="U1055" s="58"/>
    </row>
    <row r="1056" spans="1:21" s="59" customFormat="1" ht="15" x14ac:dyDescent="0.25">
      <c r="A1056" s="66"/>
      <c r="B1056" s="71"/>
      <c r="C1056" s="209" t="s">
        <v>619</v>
      </c>
      <c r="D1056" s="63">
        <v>100000</v>
      </c>
      <c r="E1056" s="63">
        <f>E1055</f>
        <v>2</v>
      </c>
      <c r="F1056" s="63">
        <v>1</v>
      </c>
      <c r="G1056" s="64">
        <f t="shared" si="106"/>
        <v>200000</v>
      </c>
      <c r="H1056" s="252"/>
      <c r="I1056" s="57"/>
      <c r="J1056" s="57"/>
      <c r="K1056" s="57"/>
      <c r="L1056" s="57"/>
      <c r="M1056" s="57"/>
      <c r="N1056" s="58"/>
      <c r="O1056" s="58"/>
      <c r="P1056" s="58"/>
      <c r="Q1056" s="58"/>
      <c r="R1056" s="58"/>
      <c r="S1056" s="58"/>
      <c r="T1056" s="58"/>
      <c r="U1056" s="58"/>
    </row>
    <row r="1057" spans="1:21" s="59" customFormat="1" ht="12" customHeight="1" x14ac:dyDescent="0.25">
      <c r="A1057" s="66"/>
      <c r="B1057" s="70"/>
      <c r="C1057" s="63" t="s">
        <v>620</v>
      </c>
      <c r="D1057" s="63">
        <v>7500</v>
      </c>
      <c r="E1057" s="63">
        <f>21*4</f>
        <v>84</v>
      </c>
      <c r="F1057" s="63">
        <v>2</v>
      </c>
      <c r="G1057" s="64">
        <f t="shared" si="106"/>
        <v>1260000</v>
      </c>
      <c r="H1057" s="252"/>
      <c r="I1057" s="57"/>
      <c r="J1057" s="57"/>
      <c r="K1057" s="57"/>
      <c r="L1057" s="57"/>
      <c r="M1057" s="57"/>
      <c r="N1057" s="58"/>
      <c r="O1057" s="58"/>
      <c r="P1057" s="58"/>
      <c r="Q1057" s="58"/>
      <c r="R1057" s="58"/>
      <c r="S1057" s="58"/>
      <c r="T1057" s="58"/>
      <c r="U1057" s="58"/>
    </row>
    <row r="1058" spans="1:21" s="59" customFormat="1" ht="11.25" customHeight="1" x14ac:dyDescent="0.25">
      <c r="A1058" s="66"/>
      <c r="B1058" s="70"/>
      <c r="C1058" s="208" t="s">
        <v>231</v>
      </c>
      <c r="D1058" s="63">
        <v>1000000</v>
      </c>
      <c r="E1058" s="63">
        <v>1</v>
      </c>
      <c r="F1058" s="63">
        <v>5</v>
      </c>
      <c r="G1058" s="64">
        <f>D1058*E1058*F1058</f>
        <v>5000000</v>
      </c>
      <c r="H1058" s="252"/>
      <c r="I1058" s="57"/>
      <c r="J1058" s="57"/>
      <c r="K1058" s="57"/>
      <c r="L1058" s="57"/>
      <c r="M1058" s="57"/>
      <c r="N1058" s="58"/>
      <c r="O1058" s="58"/>
      <c r="P1058" s="58"/>
      <c r="Q1058" s="58"/>
      <c r="R1058" s="58"/>
      <c r="S1058" s="58"/>
      <c r="T1058" s="58"/>
      <c r="U1058" s="58"/>
    </row>
    <row r="1059" spans="1:21" s="59" customFormat="1" ht="11.25" customHeight="1" x14ac:dyDescent="0.25">
      <c r="A1059" s="66"/>
      <c r="B1059" s="70"/>
      <c r="C1059" s="208" t="s">
        <v>97</v>
      </c>
      <c r="D1059" s="63">
        <v>40000</v>
      </c>
      <c r="E1059" s="63">
        <v>18</v>
      </c>
      <c r="F1059" s="63">
        <v>5</v>
      </c>
      <c r="G1059" s="64">
        <f>D1059*E1059*F1059</f>
        <v>3600000</v>
      </c>
      <c r="H1059" s="252"/>
      <c r="I1059" s="57"/>
      <c r="J1059" s="57"/>
      <c r="K1059" s="57"/>
      <c r="L1059" s="57"/>
      <c r="M1059" s="57"/>
      <c r="N1059" s="58"/>
      <c r="O1059" s="58"/>
      <c r="P1059" s="58"/>
      <c r="Q1059" s="58"/>
      <c r="R1059" s="58"/>
      <c r="S1059" s="58"/>
      <c r="T1059" s="58"/>
      <c r="U1059" s="58"/>
    </row>
    <row r="1060" spans="1:21" s="59" customFormat="1" ht="12" customHeight="1" x14ac:dyDescent="0.25">
      <c r="A1060" s="66"/>
      <c r="B1060" s="70"/>
      <c r="C1060" s="63" t="s">
        <v>60</v>
      </c>
      <c r="D1060" s="63">
        <f>G1060/E1060/F1060</f>
        <v>13822.222222222223</v>
      </c>
      <c r="E1060" s="63">
        <f>E1059</f>
        <v>18</v>
      </c>
      <c r="F1060" s="63">
        <v>5</v>
      </c>
      <c r="G1060" s="64">
        <v>1244000</v>
      </c>
      <c r="H1060" s="252"/>
      <c r="I1060" s="57"/>
      <c r="J1060" s="57"/>
      <c r="K1060" s="57"/>
      <c r="L1060" s="57"/>
      <c r="M1060" s="57"/>
      <c r="N1060" s="58"/>
      <c r="O1060" s="58"/>
      <c r="P1060" s="58"/>
      <c r="Q1060" s="58"/>
      <c r="R1060" s="58"/>
      <c r="S1060" s="58"/>
      <c r="T1060" s="58"/>
      <c r="U1060" s="58"/>
    </row>
    <row r="1061" spans="1:21" s="59" customFormat="1" ht="12" customHeight="1" x14ac:dyDescent="0.25">
      <c r="A1061" s="66"/>
      <c r="B1061" s="70"/>
      <c r="C1061" s="63" t="s">
        <v>147</v>
      </c>
      <c r="D1061" s="63">
        <f>G1061/E1061/F1061</f>
        <v>89142.857142857145</v>
      </c>
      <c r="E1061" s="63">
        <v>7</v>
      </c>
      <c r="F1061" s="63">
        <v>5</v>
      </c>
      <c r="G1061" s="64">
        <v>3120000</v>
      </c>
      <c r="H1061" s="252"/>
      <c r="I1061" s="57"/>
      <c r="J1061" s="57"/>
      <c r="K1061" s="57"/>
      <c r="L1061" s="57"/>
      <c r="M1061" s="57"/>
      <c r="N1061" s="58"/>
      <c r="O1061" s="58"/>
      <c r="P1061" s="58"/>
      <c r="Q1061" s="58"/>
      <c r="R1061" s="58"/>
      <c r="S1061" s="58"/>
      <c r="T1061" s="58"/>
      <c r="U1061" s="58"/>
    </row>
    <row r="1062" spans="1:21" s="59" customFormat="1" ht="12" customHeight="1" thickBot="1" x14ac:dyDescent="0.3">
      <c r="A1062" s="66"/>
      <c r="B1062" s="71"/>
      <c r="C1062" s="63"/>
      <c r="D1062" s="63"/>
      <c r="E1062" s="63"/>
      <c r="F1062" s="63"/>
      <c r="G1062" s="64"/>
      <c r="H1062" s="252"/>
      <c r="I1062" s="57"/>
      <c r="J1062" s="57"/>
      <c r="K1062" s="57"/>
      <c r="L1062" s="57"/>
      <c r="M1062" s="57"/>
      <c r="N1062" s="58"/>
      <c r="O1062" s="58"/>
      <c r="P1062" s="58"/>
      <c r="Q1062" s="58"/>
      <c r="R1062" s="58"/>
      <c r="S1062" s="58"/>
      <c r="T1062" s="58"/>
      <c r="U1062" s="58"/>
    </row>
    <row r="1063" spans="1:21" s="59" customFormat="1" ht="12" customHeight="1" thickBot="1" x14ac:dyDescent="0.3">
      <c r="A1063" s="66"/>
      <c r="B1063" s="71"/>
      <c r="C1063" s="72" t="s">
        <v>140</v>
      </c>
      <c r="D1063" s="72"/>
      <c r="E1063" s="72"/>
      <c r="F1063" s="72"/>
      <c r="G1063" s="73">
        <f>SUM(G1044:G1062)</f>
        <v>42824000</v>
      </c>
      <c r="H1063" s="253">
        <f>G1063/8136</f>
        <v>5263.5201573254672</v>
      </c>
      <c r="I1063" s="57"/>
      <c r="J1063" s="57"/>
      <c r="K1063" s="57"/>
      <c r="L1063" s="57"/>
      <c r="M1063" s="57"/>
      <c r="N1063" s="58"/>
      <c r="O1063" s="58"/>
      <c r="P1063" s="58"/>
      <c r="Q1063" s="58"/>
      <c r="R1063" s="58"/>
      <c r="S1063" s="58"/>
      <c r="T1063" s="58"/>
      <c r="U1063" s="58"/>
    </row>
    <row r="1064" spans="1:21" s="59" customFormat="1" ht="12" customHeight="1" x14ac:dyDescent="0.25">
      <c r="A1064" s="66"/>
      <c r="B1064" s="71"/>
      <c r="C1064" s="63"/>
      <c r="D1064" s="63"/>
      <c r="E1064" s="63"/>
      <c r="F1064" s="63"/>
      <c r="G1064" s="64"/>
      <c r="H1064" s="252"/>
      <c r="I1064" s="57"/>
      <c r="J1064" s="57"/>
      <c r="K1064" s="57"/>
      <c r="L1064" s="57"/>
      <c r="M1064" s="57"/>
      <c r="N1064" s="58"/>
      <c r="O1064" s="58"/>
      <c r="P1064" s="58"/>
      <c r="Q1064" s="58"/>
      <c r="R1064" s="58"/>
      <c r="S1064" s="58"/>
      <c r="T1064" s="58"/>
      <c r="U1064" s="58"/>
    </row>
    <row r="1065" spans="1:21" s="59" customFormat="1" ht="12" customHeight="1" thickBot="1" x14ac:dyDescent="0.3">
      <c r="A1065" s="213"/>
      <c r="B1065" s="214"/>
      <c r="C1065" s="214"/>
      <c r="D1065" s="215"/>
      <c r="E1065" s="215"/>
      <c r="F1065" s="216"/>
      <c r="G1065" s="217"/>
      <c r="H1065" s="252"/>
      <c r="I1065" s="57"/>
      <c r="J1065" s="57"/>
      <c r="K1065" s="57"/>
      <c r="L1065" s="57"/>
      <c r="M1065" s="57"/>
      <c r="N1065" s="58"/>
      <c r="O1065" s="58"/>
      <c r="P1065" s="58"/>
      <c r="Q1065" s="58"/>
      <c r="R1065" s="58"/>
      <c r="S1065" s="58"/>
      <c r="T1065" s="58"/>
      <c r="U1065" s="58"/>
    </row>
    <row r="1066" spans="1:21" s="57" customFormat="1" ht="12.75" thickBot="1" x14ac:dyDescent="0.3">
      <c r="H1066" s="252"/>
    </row>
    <row r="1067" spans="1:21" customFormat="1" ht="15" x14ac:dyDescent="0.25">
      <c r="A1067" s="269">
        <v>12</v>
      </c>
      <c r="B1067" s="270" t="s">
        <v>621</v>
      </c>
      <c r="C1067" s="271" t="s">
        <v>529</v>
      </c>
      <c r="D1067" s="271">
        <v>250000</v>
      </c>
      <c r="E1067" s="271">
        <v>3</v>
      </c>
      <c r="F1067" s="271">
        <v>6</v>
      </c>
      <c r="G1067" s="272">
        <f t="shared" ref="G1067:G1097" si="107">D1067*E1067*F1067</f>
        <v>4500000</v>
      </c>
      <c r="H1067" s="223"/>
      <c r="I1067" s="224"/>
      <c r="J1067" s="224"/>
      <c r="K1067" s="224"/>
      <c r="L1067" s="224"/>
      <c r="M1067" s="224"/>
      <c r="N1067" s="224"/>
      <c r="O1067" s="224"/>
      <c r="P1067" s="224"/>
    </row>
    <row r="1068" spans="1:21" customFormat="1" ht="17.100000000000001" customHeight="1" x14ac:dyDescent="0.25">
      <c r="A1068" s="66"/>
      <c r="B1068" s="72" t="s">
        <v>512</v>
      </c>
      <c r="C1068" s="229" t="s">
        <v>509</v>
      </c>
      <c r="D1068" s="229">
        <v>100000</v>
      </c>
      <c r="E1068" s="229">
        <f>E1067</f>
        <v>3</v>
      </c>
      <c r="F1068" s="229">
        <v>1</v>
      </c>
      <c r="G1068" s="230">
        <f t="shared" si="107"/>
        <v>300000</v>
      </c>
      <c r="H1068" s="223"/>
      <c r="I1068" s="224"/>
      <c r="J1068" s="224"/>
      <c r="K1068" s="224"/>
      <c r="L1068" s="224"/>
      <c r="M1068" s="224"/>
      <c r="N1068" s="224"/>
      <c r="O1068" s="224"/>
      <c r="P1068" s="224"/>
    </row>
    <row r="1069" spans="1:21" customFormat="1" ht="12" customHeight="1" x14ac:dyDescent="0.25">
      <c r="A1069" s="66"/>
      <c r="B1069" s="273"/>
      <c r="C1069" s="229" t="s">
        <v>530</v>
      </c>
      <c r="D1069" s="229">
        <v>250000</v>
      </c>
      <c r="E1069" s="229">
        <v>1</v>
      </c>
      <c r="F1069" s="229">
        <v>4</v>
      </c>
      <c r="G1069" s="230">
        <f t="shared" si="107"/>
        <v>1000000</v>
      </c>
      <c r="H1069" s="223"/>
      <c r="I1069" s="224"/>
      <c r="J1069" s="224"/>
      <c r="K1069" s="224"/>
      <c r="L1069" s="224"/>
      <c r="M1069" s="224"/>
      <c r="N1069" s="224"/>
      <c r="O1069" s="224"/>
      <c r="P1069" s="224"/>
    </row>
    <row r="1070" spans="1:21" customFormat="1" ht="12" customHeight="1" x14ac:dyDescent="0.25">
      <c r="A1070" s="66"/>
      <c r="B1070" s="228"/>
      <c r="C1070" s="229" t="s">
        <v>531</v>
      </c>
      <c r="D1070" s="229">
        <f>D1068</f>
        <v>100000</v>
      </c>
      <c r="E1070" s="229">
        <v>1</v>
      </c>
      <c r="F1070" s="229">
        <v>1</v>
      </c>
      <c r="G1070" s="230">
        <f t="shared" si="107"/>
        <v>100000</v>
      </c>
      <c r="H1070" s="223"/>
      <c r="I1070" s="224"/>
      <c r="J1070" s="224"/>
      <c r="K1070" s="224"/>
      <c r="L1070" s="224"/>
      <c r="M1070" s="224"/>
      <c r="N1070" s="224"/>
      <c r="O1070" s="224"/>
      <c r="P1070" s="224"/>
    </row>
    <row r="1071" spans="1:21" customFormat="1" ht="12" customHeight="1" x14ac:dyDescent="0.25">
      <c r="A1071" s="66"/>
      <c r="B1071" s="228"/>
      <c r="C1071" s="229" t="s">
        <v>532</v>
      </c>
      <c r="D1071" s="229">
        <f>D1070</f>
        <v>100000</v>
      </c>
      <c r="E1071" s="229">
        <v>1</v>
      </c>
      <c r="F1071" s="229">
        <v>1</v>
      </c>
      <c r="G1071" s="230">
        <f t="shared" si="107"/>
        <v>100000</v>
      </c>
      <c r="H1071" s="223"/>
      <c r="I1071" s="224"/>
      <c r="J1071" s="224"/>
      <c r="K1071" s="224"/>
      <c r="L1071" s="224"/>
      <c r="M1071" s="224"/>
      <c r="N1071" s="224"/>
      <c r="O1071" s="224"/>
      <c r="P1071" s="224"/>
    </row>
    <row r="1072" spans="1:21" customFormat="1" ht="12" customHeight="1" x14ac:dyDescent="0.25">
      <c r="A1072" s="66"/>
      <c r="B1072" s="228"/>
      <c r="C1072" s="229" t="s">
        <v>533</v>
      </c>
      <c r="D1072" s="229">
        <v>250000</v>
      </c>
      <c r="E1072" s="229">
        <v>1</v>
      </c>
      <c r="F1072" s="229">
        <v>1</v>
      </c>
      <c r="G1072" s="230">
        <f t="shared" si="107"/>
        <v>250000</v>
      </c>
      <c r="H1072" s="223"/>
      <c r="I1072" s="224"/>
      <c r="J1072" s="224"/>
      <c r="K1072" s="224"/>
      <c r="L1072" s="224"/>
      <c r="M1072" s="224"/>
      <c r="N1072" s="224"/>
      <c r="O1072" s="224"/>
      <c r="P1072" s="224"/>
    </row>
    <row r="1073" spans="1:16" customFormat="1" ht="15" x14ac:dyDescent="0.25">
      <c r="A1073" s="66"/>
      <c r="B1073" s="228"/>
      <c r="C1073" s="229" t="s">
        <v>534</v>
      </c>
      <c r="D1073" s="229">
        <f>D1071</f>
        <v>100000</v>
      </c>
      <c r="E1073" s="229">
        <v>1</v>
      </c>
      <c r="F1073" s="229">
        <v>2</v>
      </c>
      <c r="G1073" s="230">
        <f t="shared" si="107"/>
        <v>200000</v>
      </c>
      <c r="H1073" s="223"/>
      <c r="I1073" s="224"/>
      <c r="J1073" s="224"/>
      <c r="K1073" s="224"/>
      <c r="L1073" s="224"/>
      <c r="M1073" s="224"/>
      <c r="N1073" s="224"/>
      <c r="O1073" s="224"/>
      <c r="P1073" s="224"/>
    </row>
    <row r="1074" spans="1:16" customFormat="1" ht="15" x14ac:dyDescent="0.25">
      <c r="A1074" s="66"/>
      <c r="B1074" s="228"/>
      <c r="C1074" s="229" t="s">
        <v>535</v>
      </c>
      <c r="D1074" s="229">
        <v>250000</v>
      </c>
      <c r="E1074" s="229">
        <v>1</v>
      </c>
      <c r="F1074" s="229">
        <v>1</v>
      </c>
      <c r="G1074" s="230">
        <f t="shared" si="107"/>
        <v>250000</v>
      </c>
      <c r="H1074" s="223"/>
      <c r="I1074" s="224"/>
      <c r="J1074" s="224"/>
      <c r="K1074" s="224"/>
      <c r="L1074" s="224"/>
      <c r="M1074" s="224"/>
      <c r="N1074" s="224"/>
      <c r="O1074" s="224"/>
      <c r="P1074" s="224"/>
    </row>
    <row r="1075" spans="1:16" customFormat="1" ht="15" x14ac:dyDescent="0.25">
      <c r="A1075" s="66"/>
      <c r="B1075" s="228"/>
      <c r="C1075" s="229" t="s">
        <v>536</v>
      </c>
      <c r="D1075" s="229">
        <v>1300000</v>
      </c>
      <c r="E1075" s="229">
        <v>3</v>
      </c>
      <c r="F1075" s="229">
        <v>1</v>
      </c>
      <c r="G1075" s="230">
        <f t="shared" si="107"/>
        <v>3900000</v>
      </c>
      <c r="H1075" s="223"/>
      <c r="I1075" s="224"/>
      <c r="J1075" s="224"/>
      <c r="K1075" s="224"/>
      <c r="L1075" s="224"/>
      <c r="M1075" s="224"/>
      <c r="N1075" s="224"/>
      <c r="O1075" s="224"/>
      <c r="P1075" s="224"/>
    </row>
    <row r="1076" spans="1:16" customFormat="1" ht="15" x14ac:dyDescent="0.25">
      <c r="A1076" s="60"/>
      <c r="B1076" s="228"/>
      <c r="C1076" s="229" t="s">
        <v>537</v>
      </c>
      <c r="D1076" s="229">
        <f>7500</f>
        <v>7500</v>
      </c>
      <c r="E1076" s="229">
        <v>33</v>
      </c>
      <c r="F1076" s="229">
        <v>2</v>
      </c>
      <c r="G1076" s="230">
        <f t="shared" si="107"/>
        <v>495000</v>
      </c>
      <c r="H1076" s="223"/>
      <c r="I1076" s="224"/>
      <c r="J1076" s="224"/>
      <c r="K1076" s="224"/>
      <c r="L1076" s="224"/>
      <c r="M1076" s="224"/>
      <c r="N1076" s="224"/>
      <c r="O1076" s="224"/>
      <c r="P1076" s="224"/>
    </row>
    <row r="1077" spans="1:16" customFormat="1" ht="15" x14ac:dyDescent="0.25">
      <c r="A1077" s="60"/>
      <c r="B1077" s="228"/>
      <c r="C1077" s="229" t="s">
        <v>538</v>
      </c>
      <c r="D1077" s="229">
        <f>7500</f>
        <v>7500</v>
      </c>
      <c r="E1077" s="229">
        <v>10</v>
      </c>
      <c r="F1077" s="229">
        <v>2</v>
      </c>
      <c r="G1077" s="230">
        <f t="shared" si="107"/>
        <v>150000</v>
      </c>
      <c r="H1077" s="223"/>
      <c r="I1077" s="224"/>
      <c r="J1077" s="224"/>
      <c r="K1077" s="224"/>
      <c r="L1077" s="224"/>
      <c r="M1077" s="224"/>
      <c r="N1077" s="224"/>
      <c r="O1077" s="224"/>
      <c r="P1077" s="224"/>
    </row>
    <row r="1078" spans="1:16" customFormat="1" ht="15" x14ac:dyDescent="0.25">
      <c r="A1078" s="60"/>
      <c r="B1078" s="228"/>
      <c r="C1078" s="229" t="s">
        <v>539</v>
      </c>
      <c r="D1078" s="229">
        <f>7500</f>
        <v>7500</v>
      </c>
      <c r="E1078" s="229">
        <v>10</v>
      </c>
      <c r="F1078" s="229">
        <v>2</v>
      </c>
      <c r="G1078" s="230">
        <f t="shared" si="107"/>
        <v>150000</v>
      </c>
      <c r="H1078" s="223"/>
      <c r="I1078" s="224"/>
      <c r="J1078" s="224"/>
      <c r="K1078" s="224"/>
      <c r="L1078" s="224"/>
      <c r="M1078" s="224"/>
      <c r="N1078" s="224"/>
      <c r="O1078" s="224"/>
      <c r="P1078" s="224"/>
    </row>
    <row r="1079" spans="1:16" customFormat="1" ht="15" x14ac:dyDescent="0.25">
      <c r="A1079" s="60"/>
      <c r="B1079" s="228"/>
      <c r="C1079" s="229" t="s">
        <v>540</v>
      </c>
      <c r="D1079" s="229">
        <v>7500</v>
      </c>
      <c r="E1079" s="229">
        <v>10</v>
      </c>
      <c r="F1079" s="229">
        <v>4</v>
      </c>
      <c r="G1079" s="230">
        <f t="shared" si="107"/>
        <v>300000</v>
      </c>
      <c r="H1079" s="223"/>
      <c r="I1079" s="224"/>
      <c r="J1079" s="224"/>
      <c r="K1079" s="224"/>
      <c r="L1079" s="224"/>
      <c r="M1079" s="224"/>
      <c r="N1079" s="224"/>
      <c r="O1079" s="224"/>
      <c r="P1079" s="224"/>
    </row>
    <row r="1080" spans="1:16" customFormat="1" ht="15" x14ac:dyDescent="0.25">
      <c r="A1080" s="60"/>
      <c r="B1080" s="228"/>
      <c r="C1080" s="229" t="s">
        <v>527</v>
      </c>
      <c r="D1080" s="229">
        <v>35000</v>
      </c>
      <c r="E1080" s="229">
        <v>3</v>
      </c>
      <c r="F1080" s="229">
        <v>4</v>
      </c>
      <c r="G1080" s="230">
        <f t="shared" si="107"/>
        <v>420000</v>
      </c>
      <c r="H1080" s="55"/>
      <c r="I1080" s="224"/>
      <c r="J1080" s="274"/>
      <c r="K1080" s="224"/>
      <c r="L1080" s="224"/>
      <c r="M1080" s="224"/>
      <c r="N1080" s="224"/>
      <c r="O1080" s="224"/>
      <c r="P1080" s="224"/>
    </row>
    <row r="1081" spans="1:16" customFormat="1" ht="15.75" thickBot="1" x14ac:dyDescent="0.3">
      <c r="A1081" s="60"/>
      <c r="B1081" s="228"/>
      <c r="C1081" s="229" t="s">
        <v>622</v>
      </c>
      <c r="D1081" s="229">
        <v>10000</v>
      </c>
      <c r="E1081" s="229">
        <v>10</v>
      </c>
      <c r="F1081" s="229">
        <v>1</v>
      </c>
      <c r="G1081" s="275">
        <f t="shared" si="107"/>
        <v>100000</v>
      </c>
      <c r="H1081" s="276"/>
      <c r="I1081" s="224"/>
      <c r="J1081" s="274"/>
      <c r="K1081" s="224"/>
      <c r="L1081" s="224"/>
      <c r="M1081" s="224"/>
      <c r="N1081" s="224"/>
      <c r="O1081" s="224"/>
      <c r="P1081" s="224"/>
    </row>
    <row r="1082" spans="1:16" customFormat="1" ht="15.75" thickBot="1" x14ac:dyDescent="0.3">
      <c r="A1082" s="60"/>
      <c r="B1082" s="57"/>
      <c r="C1082" s="229"/>
      <c r="D1082" s="229"/>
      <c r="E1082" s="229"/>
      <c r="F1082" s="229"/>
      <c r="G1082" s="277">
        <f>SUM(G1067:G1081)</f>
        <v>12215000</v>
      </c>
      <c r="H1082" s="276"/>
      <c r="I1082" s="224"/>
      <c r="J1082" s="274"/>
      <c r="K1082" s="224"/>
      <c r="L1082" s="224"/>
      <c r="M1082" s="224"/>
      <c r="N1082" s="224"/>
      <c r="O1082" s="224"/>
      <c r="P1082" s="224"/>
    </row>
    <row r="1083" spans="1:16" customFormat="1" ht="15" x14ac:dyDescent="0.25">
      <c r="A1083" s="66"/>
      <c r="B1083" s="72" t="s">
        <v>516</v>
      </c>
      <c r="C1083" s="233" t="s">
        <v>547</v>
      </c>
      <c r="D1083" s="233">
        <v>250000</v>
      </c>
      <c r="E1083" s="233">
        <v>4</v>
      </c>
      <c r="F1083" s="233">
        <v>6</v>
      </c>
      <c r="G1083" s="234">
        <f t="shared" si="107"/>
        <v>6000000</v>
      </c>
      <c r="H1083" s="223"/>
      <c r="I1083" s="224"/>
      <c r="J1083" s="224"/>
      <c r="K1083" s="224"/>
      <c r="L1083" s="224"/>
      <c r="M1083" s="224"/>
      <c r="N1083" s="224"/>
      <c r="O1083" s="224"/>
      <c r="P1083" s="224"/>
    </row>
    <row r="1084" spans="1:16" customFormat="1" ht="15" x14ac:dyDescent="0.25">
      <c r="A1084" s="66"/>
      <c r="B1084" s="57"/>
      <c r="C1084" s="233" t="s">
        <v>509</v>
      </c>
      <c r="D1084" s="233">
        <v>100000</v>
      </c>
      <c r="E1084" s="233">
        <v>4</v>
      </c>
      <c r="F1084" s="233">
        <v>1</v>
      </c>
      <c r="G1084" s="234">
        <f t="shared" si="107"/>
        <v>400000</v>
      </c>
      <c r="H1084" s="223"/>
      <c r="I1084" s="224"/>
      <c r="J1084" s="224"/>
      <c r="K1084" s="224"/>
      <c r="L1084" s="224"/>
      <c r="M1084" s="224"/>
      <c r="N1084" s="224"/>
      <c r="O1084" s="224"/>
      <c r="P1084" s="224"/>
    </row>
    <row r="1085" spans="1:16" customFormat="1" ht="15" x14ac:dyDescent="0.25">
      <c r="A1085" s="66"/>
      <c r="B1085" s="57"/>
      <c r="C1085" s="233" t="s">
        <v>548</v>
      </c>
      <c r="D1085" s="233">
        <v>250000</v>
      </c>
      <c r="E1085" s="233">
        <v>1</v>
      </c>
      <c r="F1085" s="233">
        <v>3</v>
      </c>
      <c r="G1085" s="234">
        <f t="shared" si="107"/>
        <v>750000</v>
      </c>
      <c r="H1085" s="223"/>
      <c r="I1085" s="224"/>
      <c r="J1085" s="224"/>
      <c r="K1085" s="224"/>
      <c r="L1085" s="224"/>
      <c r="M1085" s="224"/>
      <c r="N1085" s="224"/>
      <c r="O1085" s="224"/>
      <c r="P1085" s="224"/>
    </row>
    <row r="1086" spans="1:16" customFormat="1" ht="15" x14ac:dyDescent="0.25">
      <c r="A1086" s="60"/>
      <c r="B1086" s="71"/>
      <c r="C1086" s="233" t="s">
        <v>549</v>
      </c>
      <c r="D1086" s="233">
        <v>100000</v>
      </c>
      <c r="E1086" s="233">
        <v>1</v>
      </c>
      <c r="F1086" s="233">
        <v>1</v>
      </c>
      <c r="G1086" s="234">
        <f t="shared" si="107"/>
        <v>100000</v>
      </c>
      <c r="H1086" s="223"/>
      <c r="I1086" s="224"/>
      <c r="J1086" s="224"/>
      <c r="K1086" s="224"/>
      <c r="L1086" s="224"/>
      <c r="M1086" s="224"/>
      <c r="N1086" s="224"/>
      <c r="O1086" s="224"/>
      <c r="P1086" s="224"/>
    </row>
    <row r="1087" spans="1:16" customFormat="1" ht="15" x14ac:dyDescent="0.25">
      <c r="A1087" s="60"/>
      <c r="B1087" s="71"/>
      <c r="C1087" s="233" t="s">
        <v>550</v>
      </c>
      <c r="D1087" s="233">
        <v>1100000</v>
      </c>
      <c r="E1087" s="233">
        <v>4</v>
      </c>
      <c r="F1087" s="233">
        <v>1</v>
      </c>
      <c r="G1087" s="234">
        <f t="shared" si="107"/>
        <v>4400000</v>
      </c>
      <c r="H1087" s="223"/>
      <c r="I1087" s="223"/>
      <c r="J1087" s="224"/>
      <c r="K1087" s="224"/>
      <c r="L1087" s="224"/>
      <c r="M1087" s="224"/>
      <c r="N1087" s="224"/>
      <c r="O1087" s="224"/>
      <c r="P1087" s="224"/>
    </row>
    <row r="1088" spans="1:16" customFormat="1" ht="15" x14ac:dyDescent="0.25">
      <c r="A1088" s="60"/>
      <c r="B1088" s="71"/>
      <c r="C1088" s="233" t="s">
        <v>551</v>
      </c>
      <c r="D1088" s="233">
        <v>7500</v>
      </c>
      <c r="E1088" s="233">
        <v>42</v>
      </c>
      <c r="F1088" s="233">
        <v>2</v>
      </c>
      <c r="G1088" s="234">
        <f t="shared" si="107"/>
        <v>630000</v>
      </c>
      <c r="H1088" s="223"/>
      <c r="I1088" s="223"/>
      <c r="J1088" s="224"/>
      <c r="K1088" s="224"/>
      <c r="L1088" s="224"/>
      <c r="M1088" s="224"/>
      <c r="N1088" s="224"/>
      <c r="O1088" s="224"/>
      <c r="P1088" s="224"/>
    </row>
    <row r="1089" spans="1:16" customFormat="1" ht="15" x14ac:dyDescent="0.25">
      <c r="A1089" s="60"/>
      <c r="B1089" s="71"/>
      <c r="C1089" s="233" t="s">
        <v>552</v>
      </c>
      <c r="D1089" s="233">
        <f>D1088</f>
        <v>7500</v>
      </c>
      <c r="E1089" s="233">
        <v>10</v>
      </c>
      <c r="F1089" s="233">
        <v>2</v>
      </c>
      <c r="G1089" s="234">
        <f t="shared" si="107"/>
        <v>150000</v>
      </c>
      <c r="H1089" s="223"/>
      <c r="I1089" s="223"/>
      <c r="J1089" s="224"/>
      <c r="K1089" s="224"/>
      <c r="L1089" s="224"/>
      <c r="M1089" s="224"/>
      <c r="N1089" s="224"/>
      <c r="O1089" s="224"/>
      <c r="P1089" s="224"/>
    </row>
    <row r="1090" spans="1:16" customFormat="1" ht="15" x14ac:dyDescent="0.25">
      <c r="A1090" s="60"/>
      <c r="B1090" s="71"/>
      <c r="C1090" s="233" t="s">
        <v>527</v>
      </c>
      <c r="D1090" s="233">
        <v>35000</v>
      </c>
      <c r="E1090" s="233">
        <v>4</v>
      </c>
      <c r="F1090" s="233">
        <v>4</v>
      </c>
      <c r="G1090" s="234">
        <f t="shared" si="107"/>
        <v>560000</v>
      </c>
      <c r="H1090" s="223"/>
      <c r="I1090" s="223"/>
      <c r="J1090" s="274"/>
      <c r="K1090" s="224"/>
      <c r="L1090" s="224"/>
      <c r="M1090" s="224"/>
      <c r="N1090" s="224"/>
      <c r="O1090" s="224"/>
      <c r="P1090" s="224"/>
    </row>
    <row r="1091" spans="1:16" customFormat="1" ht="15.75" thickBot="1" x14ac:dyDescent="0.3">
      <c r="A1091" s="60"/>
      <c r="B1091" s="71"/>
      <c r="C1091" s="233" t="s">
        <v>622</v>
      </c>
      <c r="D1091" s="233">
        <f>D1081</f>
        <v>10000</v>
      </c>
      <c r="E1091" s="233">
        <f>E1081</f>
        <v>10</v>
      </c>
      <c r="F1091" s="233">
        <f>F1081</f>
        <v>1</v>
      </c>
      <c r="G1091" s="234">
        <f t="shared" si="107"/>
        <v>100000</v>
      </c>
      <c r="H1091" s="223"/>
      <c r="I1091" s="223"/>
      <c r="J1091" s="274"/>
      <c r="K1091" s="224"/>
      <c r="L1091" s="224"/>
      <c r="M1091" s="224"/>
      <c r="N1091" s="224"/>
      <c r="O1091" s="224"/>
      <c r="P1091" s="224"/>
    </row>
    <row r="1092" spans="1:16" customFormat="1" ht="15.75" thickBot="1" x14ac:dyDescent="0.3">
      <c r="A1092" s="60"/>
      <c r="B1092" s="71"/>
      <c r="C1092" s="233"/>
      <c r="D1092" s="233"/>
      <c r="E1092" s="233"/>
      <c r="F1092" s="233"/>
      <c r="G1092" s="278">
        <f>SUM(G1083:G1091)</f>
        <v>13090000</v>
      </c>
      <c r="H1092" s="223"/>
      <c r="I1092" s="223"/>
      <c r="J1092" s="274"/>
      <c r="K1092" s="224"/>
      <c r="L1092" s="224"/>
      <c r="M1092" s="224"/>
      <c r="N1092" s="224"/>
      <c r="O1092" s="224"/>
      <c r="P1092" s="224"/>
    </row>
    <row r="1093" spans="1:16" customFormat="1" ht="15" x14ac:dyDescent="0.25">
      <c r="A1093" s="60"/>
      <c r="B1093" s="72" t="s">
        <v>522</v>
      </c>
      <c r="C1093" s="231" t="s">
        <v>559</v>
      </c>
      <c r="D1093" s="231">
        <v>250000</v>
      </c>
      <c r="E1093" s="231">
        <v>4</v>
      </c>
      <c r="F1093" s="231">
        <v>6</v>
      </c>
      <c r="G1093" s="232">
        <f t="shared" si="107"/>
        <v>6000000</v>
      </c>
      <c r="H1093" s="223"/>
      <c r="I1093" s="223"/>
      <c r="J1093" s="224"/>
      <c r="K1093" s="224"/>
      <c r="L1093" s="224"/>
      <c r="M1093" s="224"/>
      <c r="N1093" s="224"/>
      <c r="O1093" s="224"/>
      <c r="P1093" s="224"/>
    </row>
    <row r="1094" spans="1:16" customFormat="1" ht="15" x14ac:dyDescent="0.25">
      <c r="A1094" s="60"/>
      <c r="B1094" s="71"/>
      <c r="C1094" s="231" t="s">
        <v>509</v>
      </c>
      <c r="D1094" s="231">
        <v>100000</v>
      </c>
      <c r="E1094" s="231">
        <v>4</v>
      </c>
      <c r="F1094" s="231">
        <v>1</v>
      </c>
      <c r="G1094" s="232">
        <f t="shared" si="107"/>
        <v>400000</v>
      </c>
      <c r="H1094" s="223"/>
      <c r="I1094" s="223"/>
      <c r="J1094" s="224"/>
      <c r="K1094" s="224"/>
      <c r="L1094" s="224"/>
      <c r="M1094" s="224"/>
      <c r="N1094" s="224"/>
      <c r="O1094" s="224"/>
      <c r="P1094" s="224"/>
    </row>
    <row r="1095" spans="1:16" customFormat="1" ht="15" x14ac:dyDescent="0.25">
      <c r="A1095" s="60"/>
      <c r="B1095" s="71"/>
      <c r="C1095" s="231" t="s">
        <v>560</v>
      </c>
      <c r="D1095" s="231">
        <v>7500</v>
      </c>
      <c r="E1095" s="231">
        <v>102</v>
      </c>
      <c r="F1095" s="231">
        <v>2</v>
      </c>
      <c r="G1095" s="232">
        <f t="shared" si="107"/>
        <v>1530000</v>
      </c>
      <c r="H1095" s="223"/>
      <c r="I1095" s="223"/>
      <c r="J1095" s="224"/>
      <c r="K1095" s="224"/>
      <c r="L1095" s="224"/>
      <c r="M1095" s="224"/>
      <c r="N1095" s="224"/>
      <c r="O1095" s="224"/>
      <c r="P1095" s="224"/>
    </row>
    <row r="1096" spans="1:16" customFormat="1" ht="15" x14ac:dyDescent="0.25">
      <c r="A1096" s="60"/>
      <c r="B1096" s="71"/>
      <c r="C1096" s="231" t="s">
        <v>561</v>
      </c>
      <c r="D1096" s="231">
        <f>D1095</f>
        <v>7500</v>
      </c>
      <c r="E1096" s="231">
        <v>10</v>
      </c>
      <c r="F1096" s="231">
        <v>2</v>
      </c>
      <c r="G1096" s="232">
        <f t="shared" si="107"/>
        <v>150000</v>
      </c>
      <c r="H1096" s="223"/>
      <c r="I1096" s="223"/>
      <c r="J1096" s="274"/>
      <c r="K1096" s="224"/>
      <c r="L1096" s="224"/>
      <c r="M1096" s="224"/>
      <c r="N1096" s="224"/>
      <c r="O1096" s="224"/>
      <c r="P1096" s="224"/>
    </row>
    <row r="1097" spans="1:16" customFormat="1" ht="15.75" thickBot="1" x14ac:dyDescent="0.3">
      <c r="A1097" s="60"/>
      <c r="B1097" s="71"/>
      <c r="C1097" s="231" t="s">
        <v>622</v>
      </c>
      <c r="D1097" s="231">
        <v>10000</v>
      </c>
      <c r="E1097" s="231">
        <v>10</v>
      </c>
      <c r="F1097" s="231">
        <v>1</v>
      </c>
      <c r="G1097" s="232">
        <f t="shared" si="107"/>
        <v>100000</v>
      </c>
      <c r="H1097" s="223"/>
      <c r="I1097" s="223"/>
      <c r="J1097" s="274"/>
      <c r="K1097" s="224"/>
      <c r="L1097" s="224"/>
      <c r="M1097" s="224"/>
      <c r="N1097" s="224"/>
      <c r="O1097" s="224"/>
      <c r="P1097" s="224"/>
    </row>
    <row r="1098" spans="1:16" customFormat="1" ht="15.75" thickBot="1" x14ac:dyDescent="0.3">
      <c r="A1098" s="60"/>
      <c r="B1098" s="71"/>
      <c r="C1098" s="231"/>
      <c r="D1098" s="231"/>
      <c r="E1098" s="231"/>
      <c r="F1098" s="231"/>
      <c r="G1098" s="279">
        <f>SUM(G1093:G1097)</f>
        <v>8180000</v>
      </c>
      <c r="H1098" s="223"/>
      <c r="I1098" s="223"/>
      <c r="J1098" s="274"/>
      <c r="K1098" s="224"/>
      <c r="L1098" s="224"/>
      <c r="M1098" s="224"/>
      <c r="N1098" s="224"/>
      <c r="O1098" s="224"/>
      <c r="P1098" s="224"/>
    </row>
    <row r="1099" spans="1:16" customFormat="1" ht="15" x14ac:dyDescent="0.25">
      <c r="A1099" s="60"/>
      <c r="B1099" s="72" t="s">
        <v>524</v>
      </c>
      <c r="C1099" s="235" t="s">
        <v>562</v>
      </c>
      <c r="D1099" s="235">
        <v>250000</v>
      </c>
      <c r="E1099" s="235">
        <v>4</v>
      </c>
      <c r="F1099" s="235">
        <v>5</v>
      </c>
      <c r="G1099" s="236">
        <f>D1099*E1099*F1099</f>
        <v>5000000</v>
      </c>
      <c r="H1099" s="223"/>
      <c r="I1099" s="223"/>
      <c r="J1099" s="224"/>
      <c r="K1099" s="224"/>
      <c r="L1099" s="224"/>
      <c r="M1099" s="224"/>
      <c r="N1099" s="224"/>
      <c r="O1099" s="224"/>
      <c r="P1099" s="224"/>
    </row>
    <row r="1100" spans="1:16" customFormat="1" ht="15" x14ac:dyDescent="0.25">
      <c r="A1100" s="60"/>
      <c r="B1100" s="71"/>
      <c r="C1100" s="235" t="s">
        <v>509</v>
      </c>
      <c r="D1100" s="235">
        <f>D1094</f>
        <v>100000</v>
      </c>
      <c r="E1100" s="235">
        <v>4</v>
      </c>
      <c r="F1100" s="235">
        <v>1</v>
      </c>
      <c r="G1100" s="236">
        <f t="shared" ref="G1100:G1113" si="108">D1100*E1100*F1100</f>
        <v>400000</v>
      </c>
      <c r="H1100" s="223"/>
      <c r="I1100" s="223"/>
      <c r="J1100" s="224"/>
      <c r="K1100" s="224"/>
      <c r="L1100" s="224"/>
      <c r="M1100" s="224"/>
      <c r="N1100" s="224"/>
      <c r="O1100" s="224"/>
      <c r="P1100" s="224"/>
    </row>
    <row r="1101" spans="1:16" customFormat="1" ht="15" x14ac:dyDescent="0.25">
      <c r="A1101" s="60"/>
      <c r="B1101" s="71"/>
      <c r="C1101" s="235" t="s">
        <v>563</v>
      </c>
      <c r="D1101" s="235">
        <v>250000</v>
      </c>
      <c r="E1101" s="235">
        <v>1</v>
      </c>
      <c r="F1101" s="235">
        <v>3</v>
      </c>
      <c r="G1101" s="236">
        <f t="shared" si="108"/>
        <v>750000</v>
      </c>
      <c r="H1101" s="223"/>
      <c r="I1101" s="223"/>
      <c r="J1101" s="224"/>
      <c r="K1101" s="224"/>
      <c r="L1101" s="224"/>
      <c r="M1101" s="224"/>
      <c r="N1101" s="224"/>
      <c r="O1101" s="224"/>
      <c r="P1101" s="224"/>
    </row>
    <row r="1102" spans="1:16" customFormat="1" ht="15" x14ac:dyDescent="0.25">
      <c r="A1102" s="60"/>
      <c r="B1102" s="71"/>
      <c r="C1102" s="235" t="s">
        <v>564</v>
      </c>
      <c r="D1102" s="235">
        <f>D1100</f>
        <v>100000</v>
      </c>
      <c r="E1102" s="235">
        <v>1</v>
      </c>
      <c r="F1102" s="235">
        <v>1</v>
      </c>
      <c r="G1102" s="236">
        <f t="shared" si="108"/>
        <v>100000</v>
      </c>
      <c r="H1102" s="223"/>
      <c r="I1102" s="223"/>
      <c r="J1102" s="224"/>
      <c r="K1102" s="224"/>
      <c r="L1102" s="224"/>
      <c r="M1102" s="224"/>
      <c r="N1102" s="224"/>
      <c r="O1102" s="224"/>
      <c r="P1102" s="224"/>
    </row>
    <row r="1103" spans="1:16" customFormat="1" ht="15" x14ac:dyDescent="0.25">
      <c r="A1103" s="60"/>
      <c r="B1103" s="71"/>
      <c r="C1103" s="235" t="s">
        <v>565</v>
      </c>
      <c r="D1103" s="235">
        <v>1390000</v>
      </c>
      <c r="E1103" s="235">
        <v>4</v>
      </c>
      <c r="F1103" s="235">
        <v>1</v>
      </c>
      <c r="G1103" s="236">
        <f t="shared" si="108"/>
        <v>5560000</v>
      </c>
      <c r="H1103" s="223"/>
      <c r="I1103" s="223"/>
      <c r="J1103" s="224"/>
      <c r="K1103" s="224"/>
      <c r="L1103" s="224"/>
      <c r="M1103" s="224"/>
      <c r="N1103" s="224"/>
      <c r="O1103" s="224"/>
      <c r="P1103" s="224"/>
    </row>
    <row r="1104" spans="1:16" customFormat="1" ht="15" x14ac:dyDescent="0.25">
      <c r="A1104" s="60"/>
      <c r="B1104" s="71"/>
      <c r="C1104" s="235" t="s">
        <v>566</v>
      </c>
      <c r="D1104" s="235">
        <v>7500</v>
      </c>
      <c r="E1104" s="235">
        <v>21</v>
      </c>
      <c r="F1104" s="235">
        <v>2</v>
      </c>
      <c r="G1104" s="236">
        <f t="shared" si="108"/>
        <v>315000</v>
      </c>
      <c r="H1104" s="223"/>
      <c r="I1104" s="223"/>
      <c r="J1104" s="224"/>
      <c r="K1104" s="224"/>
      <c r="L1104" s="224"/>
      <c r="M1104" s="224"/>
      <c r="N1104" s="224"/>
      <c r="O1104" s="224"/>
      <c r="P1104" s="224"/>
    </row>
    <row r="1105" spans="1:16" customFormat="1" ht="15" x14ac:dyDescent="0.25">
      <c r="A1105" s="60"/>
      <c r="B1105" s="71"/>
      <c r="C1105" s="235" t="s">
        <v>567</v>
      </c>
      <c r="D1105" s="235">
        <f>D1104</f>
        <v>7500</v>
      </c>
      <c r="E1105" s="235">
        <v>10</v>
      </c>
      <c r="F1105" s="237">
        <v>2</v>
      </c>
      <c r="G1105" s="236">
        <f t="shared" si="108"/>
        <v>150000</v>
      </c>
      <c r="H1105" s="223"/>
      <c r="I1105" s="223"/>
      <c r="J1105" s="224"/>
      <c r="K1105" s="224"/>
      <c r="L1105" s="224"/>
      <c r="M1105" s="224"/>
      <c r="N1105" s="224"/>
      <c r="O1105" s="224"/>
      <c r="P1105" s="224"/>
    </row>
    <row r="1106" spans="1:16" customFormat="1" ht="15" x14ac:dyDescent="0.25">
      <c r="A1106" s="60"/>
      <c r="B1106" s="71"/>
      <c r="C1106" s="235" t="s">
        <v>527</v>
      </c>
      <c r="D1106" s="235">
        <v>35000</v>
      </c>
      <c r="E1106" s="235">
        <v>4</v>
      </c>
      <c r="F1106" s="235">
        <v>4</v>
      </c>
      <c r="G1106" s="236">
        <f t="shared" si="108"/>
        <v>560000</v>
      </c>
      <c r="H1106" s="223"/>
      <c r="I1106" s="223"/>
      <c r="J1106" s="274"/>
      <c r="K1106" s="224"/>
      <c r="L1106" s="224"/>
      <c r="M1106" s="224"/>
      <c r="N1106" s="224"/>
      <c r="O1106" s="224"/>
      <c r="P1106" s="224"/>
    </row>
    <row r="1107" spans="1:16" customFormat="1" ht="15.75" thickBot="1" x14ac:dyDescent="0.3">
      <c r="A1107" s="60"/>
      <c r="B1107" s="71"/>
      <c r="C1107" s="235" t="s">
        <v>622</v>
      </c>
      <c r="D1107" s="235">
        <v>10000</v>
      </c>
      <c r="E1107" s="235">
        <v>10</v>
      </c>
      <c r="F1107" s="235">
        <v>1</v>
      </c>
      <c r="G1107" s="236">
        <f t="shared" si="108"/>
        <v>100000</v>
      </c>
      <c r="H1107" s="223"/>
      <c r="I1107" s="223"/>
      <c r="J1107" s="274"/>
      <c r="K1107" s="224"/>
      <c r="L1107" s="224"/>
      <c r="M1107" s="224"/>
      <c r="N1107" s="224"/>
      <c r="O1107" s="224"/>
      <c r="P1107" s="224"/>
    </row>
    <row r="1108" spans="1:16" customFormat="1" ht="15.75" thickBot="1" x14ac:dyDescent="0.3">
      <c r="A1108" s="60"/>
      <c r="B1108" s="71"/>
      <c r="C1108" s="235"/>
      <c r="D1108" s="235"/>
      <c r="E1108" s="235"/>
      <c r="F1108" s="235"/>
      <c r="G1108" s="280">
        <f>SUM(G1099:G1107)</f>
        <v>12935000</v>
      </c>
      <c r="H1108" s="223"/>
      <c r="I1108" s="223"/>
      <c r="J1108" s="274"/>
      <c r="K1108" s="224"/>
      <c r="L1108" s="224"/>
      <c r="M1108" s="224"/>
      <c r="N1108" s="224"/>
      <c r="O1108" s="224"/>
      <c r="P1108" s="224"/>
    </row>
    <row r="1109" spans="1:16" customFormat="1" ht="15" x14ac:dyDescent="0.25">
      <c r="A1109" s="60"/>
      <c r="B1109" s="71"/>
      <c r="C1109" s="231" t="s">
        <v>568</v>
      </c>
      <c r="D1109" s="231">
        <v>250000</v>
      </c>
      <c r="E1109" s="231">
        <v>4</v>
      </c>
      <c r="F1109" s="231">
        <v>4</v>
      </c>
      <c r="G1109" s="232">
        <f t="shared" si="108"/>
        <v>4000000</v>
      </c>
      <c r="H1109" s="223"/>
      <c r="I1109" s="223"/>
      <c r="J1109" s="224"/>
      <c r="K1109" s="224"/>
      <c r="L1109" s="224"/>
      <c r="M1109" s="224"/>
      <c r="N1109" s="224"/>
      <c r="O1109" s="224"/>
      <c r="P1109" s="224"/>
    </row>
    <row r="1110" spans="1:16" customFormat="1" ht="15" x14ac:dyDescent="0.25">
      <c r="A1110" s="60"/>
      <c r="B1110" s="71"/>
      <c r="C1110" s="231" t="s">
        <v>509</v>
      </c>
      <c r="D1110" s="231">
        <v>100000</v>
      </c>
      <c r="E1110" s="231">
        <v>4</v>
      </c>
      <c r="F1110" s="231">
        <v>1</v>
      </c>
      <c r="G1110" s="232">
        <f t="shared" si="108"/>
        <v>400000</v>
      </c>
      <c r="H1110" s="223"/>
      <c r="I1110" s="223"/>
      <c r="J1110" s="224"/>
      <c r="K1110" s="224"/>
      <c r="L1110" s="224"/>
      <c r="M1110" s="224"/>
      <c r="N1110" s="224"/>
      <c r="O1110" s="224"/>
      <c r="P1110" s="224"/>
    </row>
    <row r="1111" spans="1:16" customFormat="1" ht="15" x14ac:dyDescent="0.25">
      <c r="A1111" s="60"/>
      <c r="B1111" s="71"/>
      <c r="C1111" s="231" t="s">
        <v>569</v>
      </c>
      <c r="D1111" s="231">
        <v>7500</v>
      </c>
      <c r="E1111" s="231">
        <v>21</v>
      </c>
      <c r="F1111" s="231">
        <v>2</v>
      </c>
      <c r="G1111" s="232">
        <f t="shared" si="108"/>
        <v>315000</v>
      </c>
      <c r="H1111" s="223"/>
      <c r="I1111" s="223"/>
      <c r="J1111" s="224"/>
      <c r="K1111" s="224"/>
      <c r="L1111" s="224"/>
      <c r="M1111" s="224"/>
      <c r="N1111" s="224"/>
      <c r="O1111" s="224"/>
      <c r="P1111" s="224"/>
    </row>
    <row r="1112" spans="1:16" customFormat="1" ht="15" x14ac:dyDescent="0.25">
      <c r="A1112" s="60"/>
      <c r="B1112" s="71"/>
      <c r="C1112" s="231" t="s">
        <v>570</v>
      </c>
      <c r="D1112" s="231">
        <f>D1111</f>
        <v>7500</v>
      </c>
      <c r="E1112" s="231">
        <v>10</v>
      </c>
      <c r="F1112" s="231">
        <v>2</v>
      </c>
      <c r="G1112" s="232">
        <f t="shared" si="108"/>
        <v>150000</v>
      </c>
      <c r="H1112" s="223"/>
      <c r="I1112" s="223"/>
      <c r="J1112" s="274"/>
      <c r="K1112" s="224"/>
      <c r="L1112" s="224"/>
      <c r="M1112" s="224"/>
      <c r="N1112" s="224"/>
      <c r="O1112" s="224"/>
      <c r="P1112" s="224"/>
    </row>
    <row r="1113" spans="1:16" customFormat="1" ht="15.75" thickBot="1" x14ac:dyDescent="0.3">
      <c r="A1113" s="60"/>
      <c r="B1113" s="71"/>
      <c r="C1113" s="231" t="s">
        <v>622</v>
      </c>
      <c r="D1113" s="231">
        <v>10000</v>
      </c>
      <c r="E1113" s="231">
        <v>10</v>
      </c>
      <c r="F1113" s="231">
        <v>1</v>
      </c>
      <c r="G1113" s="232">
        <f t="shared" si="108"/>
        <v>100000</v>
      </c>
      <c r="H1113" s="223"/>
      <c r="I1113" s="223"/>
      <c r="J1113" s="274"/>
      <c r="K1113" s="224"/>
      <c r="L1113" s="224"/>
      <c r="M1113" s="224"/>
      <c r="N1113" s="224"/>
      <c r="O1113" s="224"/>
      <c r="P1113" s="224"/>
    </row>
    <row r="1114" spans="1:16" customFormat="1" ht="15.75" thickBot="1" x14ac:dyDescent="0.3">
      <c r="A1114" s="60"/>
      <c r="B1114" s="71"/>
      <c r="C1114" s="231"/>
      <c r="D1114" s="231"/>
      <c r="E1114" s="231"/>
      <c r="F1114" s="231"/>
      <c r="G1114" s="279">
        <f>SUM(G1109:G1113)</f>
        <v>4965000</v>
      </c>
      <c r="H1114" s="223"/>
      <c r="I1114" s="223"/>
      <c r="J1114" s="274"/>
      <c r="K1114" s="224"/>
      <c r="L1114" s="224"/>
      <c r="M1114" s="224"/>
      <c r="N1114" s="224"/>
      <c r="O1114" s="224"/>
      <c r="P1114" s="224"/>
    </row>
    <row r="1115" spans="1:16" customFormat="1" ht="15.75" thickBot="1" x14ac:dyDescent="0.3">
      <c r="A1115" s="60"/>
      <c r="B1115" s="71"/>
      <c r="C1115" s="266"/>
      <c r="D1115" s="266"/>
      <c r="E1115" s="266"/>
      <c r="F1115" s="266"/>
      <c r="G1115" s="255"/>
      <c r="H1115" s="223"/>
      <c r="I1115" s="223"/>
      <c r="J1115" s="274"/>
      <c r="K1115" s="224"/>
      <c r="L1115" s="224"/>
      <c r="M1115" s="224"/>
      <c r="N1115" s="224"/>
      <c r="O1115" s="224"/>
      <c r="P1115" s="224"/>
    </row>
    <row r="1116" spans="1:16" customFormat="1" ht="15.75" thickBot="1" x14ac:dyDescent="0.3">
      <c r="A1116" s="66"/>
      <c r="B1116" s="63"/>
      <c r="C1116" s="72" t="s">
        <v>571</v>
      </c>
      <c r="D1116" s="72"/>
      <c r="E1116" s="72"/>
      <c r="F1116" s="72"/>
      <c r="G1116" s="73">
        <f>G1114+G1108+G1098+G1092+G1082</f>
        <v>51385000</v>
      </c>
      <c r="H1116" s="281">
        <f>G1116/8136</f>
        <v>6315.7571288102263</v>
      </c>
      <c r="I1116" s="223"/>
      <c r="J1116" s="224"/>
      <c r="K1116" s="224"/>
      <c r="L1116" s="224"/>
      <c r="M1116" s="224"/>
      <c r="N1116" s="224"/>
      <c r="O1116" s="224"/>
      <c r="P1116" s="224"/>
    </row>
    <row r="1117" spans="1:16" customFormat="1" ht="15" x14ac:dyDescent="0.25">
      <c r="A1117" s="66"/>
      <c r="B1117" s="63"/>
      <c r="C1117" s="63"/>
      <c r="D1117" s="63"/>
      <c r="E1117" s="63"/>
      <c r="F1117" s="63"/>
      <c r="G1117" s="64"/>
      <c r="H1117" s="223"/>
      <c r="I1117" s="223"/>
      <c r="J1117" s="224"/>
      <c r="K1117" s="224"/>
      <c r="L1117" s="224"/>
      <c r="M1117" s="224"/>
      <c r="N1117" s="224"/>
      <c r="O1117" s="224"/>
      <c r="P1117" s="224"/>
    </row>
    <row r="1118" spans="1:16" customFormat="1" ht="15.75" thickBot="1" x14ac:dyDescent="0.3">
      <c r="A1118" s="213"/>
      <c r="B1118" s="214"/>
      <c r="C1118" s="240"/>
      <c r="D1118" s="241"/>
      <c r="E1118" s="242"/>
      <c r="F1118" s="241"/>
      <c r="G1118" s="217"/>
      <c r="H1118" s="55"/>
      <c r="I1118" s="224"/>
      <c r="J1118" s="224"/>
      <c r="K1118" s="224"/>
      <c r="L1118" s="224"/>
      <c r="M1118" s="224"/>
      <c r="N1118" s="224"/>
      <c r="O1118" s="224"/>
      <c r="P1118" s="224"/>
    </row>
    <row r="1119" spans="1:16" s="57" customFormat="1" ht="12.75" thickBot="1" x14ac:dyDescent="0.3"/>
    <row r="1120" spans="1:16" s="260" customFormat="1" ht="15" x14ac:dyDescent="0.25">
      <c r="A1120" s="207">
        <v>13</v>
      </c>
      <c r="B1120" s="750" t="s">
        <v>623</v>
      </c>
      <c r="C1120" s="53" t="s">
        <v>604</v>
      </c>
      <c r="D1120" s="53">
        <v>1500000</v>
      </c>
      <c r="E1120" s="53">
        <v>1</v>
      </c>
      <c r="F1120" s="53">
        <v>1</v>
      </c>
      <c r="G1120" s="257">
        <f>D1120*E1120*F1120</f>
        <v>1500000</v>
      </c>
      <c r="H1120" s="258"/>
      <c r="I1120" s="259"/>
      <c r="J1120" s="259"/>
      <c r="K1120" s="259"/>
      <c r="L1120" s="259"/>
      <c r="M1120" s="259"/>
      <c r="N1120" s="259"/>
      <c r="O1120" s="259"/>
      <c r="P1120" s="259"/>
    </row>
    <row r="1121" spans="1:21" s="260" customFormat="1" ht="15" x14ac:dyDescent="0.25">
      <c r="A1121" s="66"/>
      <c r="B1121" s="751"/>
      <c r="C1121" s="63" t="s">
        <v>624</v>
      </c>
      <c r="D1121" s="63">
        <v>5000</v>
      </c>
      <c r="E1121" s="63">
        <v>200</v>
      </c>
      <c r="F1121" s="63">
        <v>1</v>
      </c>
      <c r="G1121" s="261">
        <f>D1121*E1121*F1121</f>
        <v>1000000</v>
      </c>
      <c r="H1121" s="258"/>
      <c r="I1121" s="259"/>
      <c r="J1121" s="259"/>
      <c r="K1121" s="259"/>
      <c r="L1121" s="259"/>
      <c r="M1121" s="259"/>
      <c r="N1121" s="259"/>
      <c r="O1121" s="259"/>
      <c r="P1121" s="259"/>
    </row>
    <row r="1122" spans="1:21" s="260" customFormat="1" ht="12" customHeight="1" x14ac:dyDescent="0.25">
      <c r="A1122" s="66"/>
      <c r="B1122" s="247"/>
      <c r="C1122" s="63" t="s">
        <v>625</v>
      </c>
      <c r="D1122" s="63">
        <v>50000</v>
      </c>
      <c r="E1122" s="63">
        <v>50</v>
      </c>
      <c r="F1122" s="63">
        <v>1</v>
      </c>
      <c r="G1122" s="261">
        <f>D1122*E1122*F1122</f>
        <v>2500000</v>
      </c>
      <c r="H1122" s="258"/>
      <c r="I1122" s="259"/>
      <c r="J1122" s="259"/>
      <c r="K1122" s="259"/>
      <c r="L1122" s="259"/>
      <c r="M1122" s="259"/>
      <c r="N1122" s="259"/>
      <c r="O1122" s="259"/>
      <c r="P1122" s="259"/>
    </row>
    <row r="1123" spans="1:21" s="260" customFormat="1" ht="12" customHeight="1" x14ac:dyDescent="0.25">
      <c r="A1123" s="66"/>
      <c r="B1123" s="247"/>
      <c r="C1123" s="63" t="s">
        <v>626</v>
      </c>
      <c r="D1123" s="63">
        <v>50000</v>
      </c>
      <c r="E1123" s="63">
        <v>200</v>
      </c>
      <c r="F1123" s="63">
        <v>1</v>
      </c>
      <c r="G1123" s="261">
        <f>D1123*E1123*F1123</f>
        <v>10000000</v>
      </c>
      <c r="H1123" s="258"/>
      <c r="I1123" s="259"/>
      <c r="J1123" s="259"/>
      <c r="K1123" s="259"/>
      <c r="L1123" s="259"/>
      <c r="M1123" s="259"/>
      <c r="N1123" s="259"/>
      <c r="O1123" s="259"/>
      <c r="P1123" s="259"/>
    </row>
    <row r="1124" spans="1:21" s="260" customFormat="1" ht="12" customHeight="1" thickBot="1" x14ac:dyDescent="0.3">
      <c r="A1124" s="66"/>
      <c r="B1124" s="247"/>
      <c r="C1124" s="63"/>
      <c r="D1124" s="63"/>
      <c r="E1124" s="63"/>
      <c r="F1124" s="63"/>
      <c r="G1124" s="262"/>
      <c r="H1124" s="258"/>
      <c r="I1124" s="259"/>
      <c r="J1124" s="259"/>
      <c r="K1124" s="259"/>
      <c r="L1124" s="259"/>
      <c r="M1124" s="259"/>
      <c r="N1124" s="259"/>
      <c r="O1124" s="259"/>
      <c r="P1124" s="259"/>
    </row>
    <row r="1125" spans="1:21" s="260" customFormat="1" ht="12" customHeight="1" thickBot="1" x14ac:dyDescent="0.3">
      <c r="A1125" s="66"/>
      <c r="B1125" s="71"/>
      <c r="C1125" s="72" t="s">
        <v>140</v>
      </c>
      <c r="D1125" s="72"/>
      <c r="E1125" s="72"/>
      <c r="F1125" s="72"/>
      <c r="G1125" s="263">
        <f>SUM(G1120:G1123)</f>
        <v>15000000</v>
      </c>
      <c r="H1125" s="282">
        <f>G1125/8136</f>
        <v>1843.6578171091446</v>
      </c>
      <c r="I1125" s="258"/>
      <c r="J1125" s="259"/>
      <c r="K1125" s="259"/>
      <c r="L1125" s="259"/>
      <c r="M1125" s="259"/>
      <c r="N1125" s="259"/>
      <c r="O1125" s="259"/>
      <c r="P1125" s="259"/>
    </row>
    <row r="1126" spans="1:21" s="59" customFormat="1" ht="12" customHeight="1" thickBot="1" x14ac:dyDescent="0.3">
      <c r="A1126" s="213"/>
      <c r="B1126" s="214"/>
      <c r="C1126" s="214"/>
      <c r="D1126" s="215"/>
      <c r="E1126" s="215"/>
      <c r="F1126" s="216"/>
      <c r="G1126" s="217"/>
      <c r="H1126" s="58"/>
      <c r="I1126" s="58"/>
      <c r="J1126" s="58"/>
      <c r="K1126" s="58"/>
      <c r="L1126" s="58"/>
      <c r="M1126" s="58"/>
      <c r="N1126" s="58"/>
      <c r="O1126" s="58"/>
    </row>
    <row r="1127" spans="1:21" s="59" customFormat="1" ht="12" customHeight="1" thickBot="1" x14ac:dyDescent="0.3">
      <c r="A1127" s="66"/>
      <c r="B1127" s="254"/>
      <c r="C1127" s="254"/>
      <c r="D1127" s="72"/>
      <c r="E1127" s="72"/>
      <c r="F1127" s="63"/>
      <c r="G1127" s="255"/>
      <c r="H1127" s="58"/>
      <c r="I1127" s="58"/>
      <c r="J1127" s="58"/>
      <c r="K1127" s="58"/>
      <c r="L1127" s="58"/>
      <c r="M1127" s="58"/>
      <c r="N1127" s="58"/>
      <c r="O1127" s="58"/>
    </row>
    <row r="1128" spans="1:21" s="59" customFormat="1" ht="12" customHeight="1" x14ac:dyDescent="0.25">
      <c r="A1128" s="207">
        <v>14</v>
      </c>
      <c r="B1128" s="757" t="s">
        <v>627</v>
      </c>
      <c r="C1128" s="53" t="s">
        <v>39</v>
      </c>
      <c r="D1128" s="53">
        <v>150000</v>
      </c>
      <c r="E1128" s="53">
        <v>1</v>
      </c>
      <c r="F1128" s="53">
        <v>1</v>
      </c>
      <c r="G1128" s="54">
        <f>D1128*E1128*F1128</f>
        <v>150000</v>
      </c>
      <c r="H1128" s="283"/>
      <c r="I1128" s="57"/>
      <c r="J1128" s="57"/>
      <c r="K1128" s="57"/>
      <c r="L1128" s="57"/>
      <c r="M1128" s="57"/>
      <c r="N1128" s="58"/>
      <c r="O1128" s="58"/>
      <c r="P1128" s="58"/>
      <c r="Q1128" s="58"/>
      <c r="R1128" s="58"/>
      <c r="S1128" s="58"/>
      <c r="T1128" s="58"/>
      <c r="U1128" s="58"/>
    </row>
    <row r="1129" spans="1:21" s="59" customFormat="1" ht="12" customHeight="1" x14ac:dyDescent="0.25">
      <c r="A1129" s="66"/>
      <c r="B1129" s="758"/>
      <c r="C1129" s="63" t="s">
        <v>592</v>
      </c>
      <c r="D1129" s="63"/>
      <c r="E1129" s="63">
        <v>16</v>
      </c>
      <c r="F1129" s="63"/>
      <c r="G1129" s="64">
        <f>D1129*E1129*F1129</f>
        <v>0</v>
      </c>
      <c r="H1129" s="283"/>
      <c r="I1129" s="57"/>
      <c r="J1129" s="57"/>
      <c r="K1129" s="57"/>
      <c r="L1129" s="57"/>
      <c r="M1129" s="57"/>
      <c r="N1129" s="58"/>
      <c r="O1129" s="58"/>
      <c r="P1129" s="58"/>
      <c r="Q1129" s="58"/>
      <c r="R1129" s="58"/>
      <c r="S1129" s="58"/>
      <c r="T1129" s="58"/>
      <c r="U1129" s="58"/>
    </row>
    <row r="1130" spans="1:21" s="59" customFormat="1" ht="22.5" x14ac:dyDescent="0.25">
      <c r="A1130" s="66"/>
      <c r="B1130" s="758"/>
      <c r="C1130" s="208" t="s">
        <v>628</v>
      </c>
      <c r="D1130" s="63"/>
      <c r="E1130" s="63">
        <v>25</v>
      </c>
      <c r="F1130" s="63"/>
      <c r="G1130" s="64">
        <f t="shared" ref="G1130:G1148" si="109">D1130*E1130*F1130</f>
        <v>0</v>
      </c>
      <c r="H1130" s="283"/>
      <c r="I1130" s="57"/>
      <c r="J1130" s="57"/>
      <c r="K1130" s="57"/>
      <c r="L1130" s="57"/>
      <c r="M1130" s="57"/>
      <c r="N1130" s="58"/>
      <c r="O1130" s="58"/>
      <c r="P1130" s="58"/>
      <c r="Q1130" s="58"/>
      <c r="R1130" s="58"/>
      <c r="S1130" s="58"/>
      <c r="T1130" s="58"/>
      <c r="U1130" s="58"/>
    </row>
    <row r="1131" spans="1:21" s="59" customFormat="1" ht="9.75" customHeight="1" x14ac:dyDescent="0.25">
      <c r="A1131" s="66"/>
      <c r="B1131" s="273"/>
      <c r="C1131" s="63" t="s">
        <v>629</v>
      </c>
      <c r="D1131" s="63"/>
      <c r="E1131" s="63">
        <v>5</v>
      </c>
      <c r="F1131" s="63"/>
      <c r="G1131" s="64">
        <f t="shared" si="109"/>
        <v>0</v>
      </c>
      <c r="H1131" s="283"/>
      <c r="I1131" s="57"/>
      <c r="J1131" s="57"/>
      <c r="K1131" s="57"/>
      <c r="L1131" s="57"/>
      <c r="M1131" s="57"/>
      <c r="N1131" s="58"/>
      <c r="O1131" s="58"/>
      <c r="P1131" s="58"/>
      <c r="Q1131" s="58"/>
      <c r="R1131" s="58"/>
      <c r="S1131" s="58"/>
      <c r="T1131" s="58"/>
      <c r="U1131" s="58"/>
    </row>
    <row r="1132" spans="1:21" s="59" customFormat="1" ht="12" customHeight="1" x14ac:dyDescent="0.25">
      <c r="A1132" s="66"/>
      <c r="B1132" s="70"/>
      <c r="C1132" s="209" t="s">
        <v>630</v>
      </c>
      <c r="D1132" s="63">
        <v>250000</v>
      </c>
      <c r="E1132" s="63">
        <v>5</v>
      </c>
      <c r="F1132" s="63">
        <v>6</v>
      </c>
      <c r="G1132" s="64">
        <f t="shared" si="109"/>
        <v>7500000</v>
      </c>
      <c r="H1132" s="283"/>
      <c r="I1132" s="57"/>
      <c r="J1132" s="57"/>
      <c r="K1132" s="57"/>
      <c r="L1132" s="57"/>
      <c r="M1132" s="57"/>
      <c r="N1132" s="58"/>
      <c r="O1132" s="58"/>
      <c r="P1132" s="58"/>
      <c r="Q1132" s="58"/>
      <c r="R1132" s="58"/>
      <c r="S1132" s="58"/>
      <c r="T1132" s="58"/>
      <c r="U1132" s="58"/>
    </row>
    <row r="1133" spans="1:21" s="59" customFormat="1" ht="12" customHeight="1" x14ac:dyDescent="0.25">
      <c r="A1133" s="66"/>
      <c r="B1133" s="70"/>
      <c r="C1133" s="209" t="s">
        <v>631</v>
      </c>
      <c r="D1133" s="63">
        <v>100000</v>
      </c>
      <c r="E1133" s="63">
        <v>5</v>
      </c>
      <c r="F1133" s="63">
        <v>1</v>
      </c>
      <c r="G1133" s="64">
        <f t="shared" si="109"/>
        <v>500000</v>
      </c>
      <c r="H1133" s="283"/>
      <c r="I1133" s="57"/>
      <c r="J1133" s="57"/>
      <c r="K1133" s="57"/>
      <c r="L1133" s="57"/>
      <c r="M1133" s="57"/>
      <c r="N1133" s="58"/>
      <c r="O1133" s="58"/>
      <c r="P1133" s="58"/>
      <c r="Q1133" s="58"/>
      <c r="R1133" s="58"/>
      <c r="S1133" s="58"/>
      <c r="T1133" s="58"/>
      <c r="U1133" s="58"/>
    </row>
    <row r="1134" spans="1:21" s="59" customFormat="1" ht="12.75" customHeight="1" x14ac:dyDescent="0.25">
      <c r="A1134" s="66"/>
      <c r="B1134" s="70"/>
      <c r="C1134" s="209" t="s">
        <v>632</v>
      </c>
      <c r="D1134" s="63">
        <v>250000</v>
      </c>
      <c r="E1134" s="63">
        <v>20</v>
      </c>
      <c r="F1134" s="63">
        <f>2+3</f>
        <v>5</v>
      </c>
      <c r="G1134" s="64">
        <f t="shared" si="109"/>
        <v>25000000</v>
      </c>
      <c r="H1134" s="283"/>
      <c r="I1134" s="57"/>
      <c r="J1134" s="57"/>
      <c r="K1134" s="57"/>
      <c r="L1134" s="57"/>
      <c r="M1134" s="57"/>
      <c r="N1134" s="58"/>
      <c r="O1134" s="58"/>
      <c r="P1134" s="58"/>
      <c r="Q1134" s="58"/>
      <c r="R1134" s="58"/>
      <c r="S1134" s="58"/>
      <c r="T1134" s="58"/>
      <c r="U1134" s="58"/>
    </row>
    <row r="1135" spans="1:21" s="59" customFormat="1" ht="15" x14ac:dyDescent="0.25">
      <c r="A1135" s="66"/>
      <c r="B1135" s="70"/>
      <c r="C1135" s="209" t="s">
        <v>633</v>
      </c>
      <c r="D1135" s="63">
        <f>D1133</f>
        <v>100000</v>
      </c>
      <c r="E1135" s="63">
        <f>E1134</f>
        <v>20</v>
      </c>
      <c r="F1135" s="63">
        <v>1</v>
      </c>
      <c r="G1135" s="64">
        <f t="shared" si="109"/>
        <v>2000000</v>
      </c>
      <c r="H1135" s="283"/>
      <c r="I1135" s="57"/>
      <c r="J1135" s="57"/>
      <c r="K1135" s="57"/>
      <c r="L1135" s="57"/>
      <c r="M1135" s="57"/>
      <c r="N1135" s="58"/>
      <c r="O1135" s="58"/>
      <c r="P1135" s="58"/>
      <c r="Q1135" s="58"/>
      <c r="R1135" s="58"/>
      <c r="S1135" s="58"/>
      <c r="T1135" s="58"/>
      <c r="U1135" s="58"/>
    </row>
    <row r="1136" spans="1:21" s="59" customFormat="1" ht="22.5" x14ac:dyDescent="0.25">
      <c r="A1136" s="66"/>
      <c r="B1136" s="70"/>
      <c r="C1136" s="209" t="s">
        <v>634</v>
      </c>
      <c r="D1136" s="63">
        <v>250000</v>
      </c>
      <c r="E1136" s="63">
        <v>30</v>
      </c>
      <c r="F1136" s="63">
        <v>4</v>
      </c>
      <c r="G1136" s="64">
        <f t="shared" si="109"/>
        <v>30000000</v>
      </c>
      <c r="H1136" s="283"/>
      <c r="I1136" s="57"/>
      <c r="J1136" s="57"/>
      <c r="K1136" s="57"/>
      <c r="L1136" s="57"/>
      <c r="M1136" s="57"/>
      <c r="N1136" s="58"/>
      <c r="O1136" s="58"/>
      <c r="P1136" s="58"/>
      <c r="Q1136" s="58"/>
      <c r="R1136" s="58"/>
      <c r="S1136" s="58"/>
      <c r="T1136" s="58"/>
      <c r="U1136" s="58"/>
    </row>
    <row r="1137" spans="1:21" s="59" customFormat="1" ht="22.5" x14ac:dyDescent="0.25">
      <c r="A1137" s="66"/>
      <c r="B1137" s="70"/>
      <c r="C1137" s="209" t="s">
        <v>635</v>
      </c>
      <c r="D1137" s="63">
        <f>D1135</f>
        <v>100000</v>
      </c>
      <c r="E1137" s="63">
        <f>E1136</f>
        <v>30</v>
      </c>
      <c r="F1137" s="63">
        <v>1</v>
      </c>
      <c r="G1137" s="64">
        <f t="shared" si="109"/>
        <v>3000000</v>
      </c>
      <c r="H1137" s="283"/>
      <c r="I1137" s="57"/>
      <c r="J1137" s="57"/>
      <c r="K1137" s="57"/>
      <c r="L1137" s="57"/>
      <c r="M1137" s="57"/>
      <c r="N1137" s="58"/>
      <c r="O1137" s="58"/>
      <c r="P1137" s="58"/>
      <c r="Q1137" s="58"/>
      <c r="R1137" s="58"/>
      <c r="S1137" s="58"/>
      <c r="T1137" s="58"/>
      <c r="U1137" s="58"/>
    </row>
    <row r="1138" spans="1:21" s="212" customFormat="1" ht="12" customHeight="1" x14ac:dyDescent="0.25">
      <c r="A1138" s="66"/>
      <c r="B1138" s="70"/>
      <c r="C1138" s="63" t="s">
        <v>636</v>
      </c>
      <c r="D1138" s="63">
        <v>7500</v>
      </c>
      <c r="E1138" s="63">
        <v>9</v>
      </c>
      <c r="F1138" s="63">
        <v>2</v>
      </c>
      <c r="G1138" s="64">
        <f t="shared" si="109"/>
        <v>135000</v>
      </c>
      <c r="H1138" s="284"/>
      <c r="I1138" s="285"/>
      <c r="J1138" s="285"/>
      <c r="K1138" s="285"/>
      <c r="L1138" s="285"/>
      <c r="M1138" s="285"/>
      <c r="N1138" s="211"/>
      <c r="O1138" s="211"/>
      <c r="P1138" s="211"/>
      <c r="Q1138" s="211"/>
      <c r="R1138" s="211"/>
      <c r="S1138" s="211"/>
      <c r="T1138" s="211"/>
      <c r="U1138" s="211"/>
    </row>
    <row r="1139" spans="1:21" s="59" customFormat="1" ht="12" customHeight="1" x14ac:dyDescent="0.25">
      <c r="A1139" s="66"/>
      <c r="B1139" s="70"/>
      <c r="C1139" s="63" t="s">
        <v>637</v>
      </c>
      <c r="D1139" s="63">
        <v>7500</v>
      </c>
      <c r="E1139" s="63">
        <v>148</v>
      </c>
      <c r="F1139" s="63">
        <v>2</v>
      </c>
      <c r="G1139" s="64">
        <f t="shared" si="109"/>
        <v>2220000</v>
      </c>
      <c r="H1139" s="283"/>
      <c r="I1139" s="57"/>
      <c r="J1139" s="57"/>
      <c r="K1139" s="57"/>
      <c r="L1139" s="57"/>
      <c r="M1139" s="57"/>
      <c r="N1139" s="58"/>
      <c r="O1139" s="58"/>
      <c r="P1139" s="58"/>
      <c r="Q1139" s="58"/>
      <c r="R1139" s="58"/>
      <c r="S1139" s="58"/>
      <c r="T1139" s="58"/>
      <c r="U1139" s="58"/>
    </row>
    <row r="1140" spans="1:21" s="59" customFormat="1" ht="12" customHeight="1" x14ac:dyDescent="0.25">
      <c r="A1140" s="66"/>
      <c r="B1140" s="70"/>
      <c r="C1140" s="63" t="s">
        <v>638</v>
      </c>
      <c r="D1140" s="63">
        <v>7500</v>
      </c>
      <c r="E1140" s="63">
        <v>113</v>
      </c>
      <c r="F1140" s="63">
        <v>2</v>
      </c>
      <c r="G1140" s="64">
        <f t="shared" si="109"/>
        <v>1695000</v>
      </c>
      <c r="H1140" s="283"/>
      <c r="I1140" s="57"/>
      <c r="J1140" s="57"/>
      <c r="K1140" s="57"/>
      <c r="L1140" s="57"/>
      <c r="M1140" s="57"/>
      <c r="N1140" s="58"/>
      <c r="O1140" s="58"/>
      <c r="P1140" s="58"/>
      <c r="Q1140" s="58"/>
      <c r="R1140" s="58"/>
      <c r="S1140" s="58"/>
      <c r="T1140" s="58"/>
      <c r="U1140" s="58"/>
    </row>
    <row r="1141" spans="1:21" s="59" customFormat="1" ht="12" customHeight="1" x14ac:dyDescent="0.25">
      <c r="A1141" s="66"/>
      <c r="B1141" s="70"/>
      <c r="C1141" s="63" t="s">
        <v>639</v>
      </c>
      <c r="D1141" s="63">
        <v>7500</v>
      </c>
      <c r="E1141" s="63">
        <v>107</v>
      </c>
      <c r="F1141" s="63">
        <v>2</v>
      </c>
      <c r="G1141" s="64">
        <f t="shared" si="109"/>
        <v>1605000</v>
      </c>
      <c r="H1141" s="283"/>
      <c r="I1141" s="57"/>
      <c r="J1141" s="57"/>
      <c r="K1141" s="57"/>
      <c r="L1141" s="57"/>
      <c r="M1141" s="57"/>
      <c r="N1141" s="58"/>
      <c r="O1141" s="58"/>
      <c r="P1141" s="58"/>
      <c r="Q1141" s="58"/>
      <c r="R1141" s="58"/>
      <c r="S1141" s="58"/>
      <c r="T1141" s="58"/>
      <c r="U1141" s="58"/>
    </row>
    <row r="1142" spans="1:21" s="59" customFormat="1" ht="12" customHeight="1" x14ac:dyDescent="0.25">
      <c r="A1142" s="66"/>
      <c r="B1142" s="70"/>
      <c r="C1142" s="63" t="s">
        <v>640</v>
      </c>
      <c r="D1142" s="63">
        <v>7500</v>
      </c>
      <c r="E1142" s="63">
        <v>110</v>
      </c>
      <c r="F1142" s="63">
        <v>2</v>
      </c>
      <c r="G1142" s="64">
        <f t="shared" si="109"/>
        <v>1650000</v>
      </c>
      <c r="H1142" s="283"/>
      <c r="I1142" s="57"/>
      <c r="J1142" s="57"/>
      <c r="K1142" s="57"/>
      <c r="L1142" s="57"/>
      <c r="M1142" s="57"/>
      <c r="N1142" s="58"/>
      <c r="O1142" s="58"/>
      <c r="P1142" s="58"/>
      <c r="Q1142" s="58"/>
      <c r="R1142" s="58"/>
      <c r="S1142" s="58"/>
      <c r="T1142" s="58"/>
      <c r="U1142" s="58"/>
    </row>
    <row r="1143" spans="1:21" s="59" customFormat="1" ht="12" customHeight="1" x14ac:dyDescent="0.25">
      <c r="A1143" s="66"/>
      <c r="B1143" s="70"/>
      <c r="C1143" s="63" t="s">
        <v>641</v>
      </c>
      <c r="D1143" s="63">
        <v>7500</v>
      </c>
      <c r="E1143" s="63">
        <v>84</v>
      </c>
      <c r="F1143" s="63">
        <v>2</v>
      </c>
      <c r="G1143" s="64">
        <f t="shared" si="109"/>
        <v>1260000</v>
      </c>
      <c r="H1143" s="283"/>
      <c r="I1143" s="57"/>
      <c r="J1143" s="57"/>
      <c r="K1143" s="57"/>
      <c r="L1143" s="57"/>
      <c r="M1143" s="57"/>
      <c r="N1143" s="58"/>
      <c r="O1143" s="58"/>
      <c r="P1143" s="58"/>
      <c r="Q1143" s="58"/>
      <c r="R1143" s="58"/>
      <c r="S1143" s="58"/>
      <c r="T1143" s="58"/>
      <c r="U1143" s="58"/>
    </row>
    <row r="1144" spans="1:21" s="59" customFormat="1" ht="12" customHeight="1" x14ac:dyDescent="0.25">
      <c r="A1144" s="66"/>
      <c r="B1144" s="70"/>
      <c r="C1144" s="63" t="s">
        <v>642</v>
      </c>
      <c r="D1144" s="63">
        <v>7500</v>
      </c>
      <c r="E1144" s="63">
        <v>84</v>
      </c>
      <c r="F1144" s="63">
        <v>2</v>
      </c>
      <c r="G1144" s="64">
        <f t="shared" si="109"/>
        <v>1260000</v>
      </c>
      <c r="H1144" s="283"/>
      <c r="I1144" s="57"/>
      <c r="J1144" s="57"/>
      <c r="K1144" s="57"/>
      <c r="L1144" s="57"/>
      <c r="M1144" s="57"/>
      <c r="N1144" s="58"/>
      <c r="O1144" s="58"/>
      <c r="P1144" s="58"/>
      <c r="Q1144" s="58"/>
      <c r="R1144" s="58"/>
      <c r="S1144" s="58"/>
      <c r="T1144" s="58"/>
      <c r="U1144" s="58"/>
    </row>
    <row r="1145" spans="1:21" s="59" customFormat="1" ht="12" customHeight="1" x14ac:dyDescent="0.25">
      <c r="A1145" s="66"/>
      <c r="B1145" s="70"/>
      <c r="C1145" s="63" t="s">
        <v>643</v>
      </c>
      <c r="D1145" s="63">
        <v>7500</v>
      </c>
      <c r="E1145" s="63">
        <v>101</v>
      </c>
      <c r="F1145" s="63">
        <v>2</v>
      </c>
      <c r="G1145" s="64">
        <f t="shared" si="109"/>
        <v>1515000</v>
      </c>
      <c r="H1145" s="283"/>
      <c r="I1145" s="57"/>
      <c r="J1145" s="57"/>
      <c r="K1145" s="57"/>
      <c r="L1145" s="57"/>
      <c r="M1145" s="57"/>
      <c r="N1145" s="58"/>
      <c r="O1145" s="58"/>
      <c r="P1145" s="58"/>
      <c r="Q1145" s="58"/>
      <c r="R1145" s="58"/>
      <c r="S1145" s="58"/>
      <c r="T1145" s="58"/>
      <c r="U1145" s="58"/>
    </row>
    <row r="1146" spans="1:21" s="59" customFormat="1" ht="12" customHeight="1" x14ac:dyDescent="0.25">
      <c r="A1146" s="66"/>
      <c r="B1146" s="70"/>
      <c r="C1146" s="63" t="s">
        <v>644</v>
      </c>
      <c r="D1146" s="63">
        <v>7500</v>
      </c>
      <c r="E1146" s="63">
        <v>65</v>
      </c>
      <c r="F1146" s="63">
        <v>2</v>
      </c>
      <c r="G1146" s="64">
        <f t="shared" si="109"/>
        <v>975000</v>
      </c>
      <c r="H1146" s="283"/>
      <c r="I1146" s="57"/>
      <c r="J1146" s="57"/>
      <c r="K1146" s="57"/>
      <c r="L1146" s="57"/>
      <c r="M1146" s="57"/>
      <c r="N1146" s="58"/>
      <c r="O1146" s="58"/>
      <c r="P1146" s="58"/>
      <c r="Q1146" s="58"/>
      <c r="R1146" s="58"/>
      <c r="S1146" s="58"/>
      <c r="T1146" s="58"/>
      <c r="U1146" s="58"/>
    </row>
    <row r="1147" spans="1:21" s="59" customFormat="1" ht="12" customHeight="1" x14ac:dyDescent="0.25">
      <c r="A1147" s="66"/>
      <c r="B1147" s="70"/>
      <c r="C1147" s="63" t="s">
        <v>645</v>
      </c>
      <c r="D1147" s="63">
        <v>7500</v>
      </c>
      <c r="E1147" s="63">
        <v>76</v>
      </c>
      <c r="F1147" s="63">
        <v>2</v>
      </c>
      <c r="G1147" s="64">
        <f t="shared" si="109"/>
        <v>1140000</v>
      </c>
      <c r="H1147" s="283"/>
      <c r="I1147" s="57"/>
      <c r="J1147" s="57"/>
      <c r="K1147" s="57"/>
      <c r="L1147" s="57"/>
      <c r="M1147" s="57"/>
      <c r="N1147" s="58"/>
      <c r="O1147" s="58"/>
      <c r="P1147" s="58"/>
      <c r="Q1147" s="58"/>
      <c r="R1147" s="58"/>
      <c r="S1147" s="58"/>
      <c r="T1147" s="58"/>
      <c r="U1147" s="58"/>
    </row>
    <row r="1148" spans="1:21" s="59" customFormat="1" ht="12" customHeight="1" x14ac:dyDescent="0.25">
      <c r="A1148" s="66"/>
      <c r="B1148" s="70"/>
      <c r="C1148" s="63" t="s">
        <v>646</v>
      </c>
      <c r="D1148" s="63">
        <v>7500</v>
      </c>
      <c r="E1148" s="63">
        <v>64</v>
      </c>
      <c r="F1148" s="63">
        <v>2</v>
      </c>
      <c r="G1148" s="64">
        <f t="shared" si="109"/>
        <v>960000</v>
      </c>
      <c r="H1148" s="283"/>
      <c r="I1148" s="57"/>
      <c r="J1148" s="57"/>
      <c r="K1148" s="57"/>
      <c r="L1148" s="57"/>
      <c r="M1148" s="57"/>
      <c r="N1148" s="58"/>
      <c r="O1148" s="58"/>
      <c r="P1148" s="58"/>
      <c r="Q1148" s="58"/>
      <c r="R1148" s="58"/>
      <c r="S1148" s="58"/>
      <c r="T1148" s="58"/>
      <c r="U1148" s="58"/>
    </row>
    <row r="1149" spans="1:21" s="59" customFormat="1" ht="24" customHeight="1" x14ac:dyDescent="0.25">
      <c r="A1149" s="66"/>
      <c r="B1149" s="70"/>
      <c r="C1149" s="208" t="s">
        <v>582</v>
      </c>
      <c r="D1149" s="63">
        <v>320000</v>
      </c>
      <c r="E1149" s="63">
        <v>90</v>
      </c>
      <c r="F1149" s="63">
        <v>3</v>
      </c>
      <c r="G1149" s="64">
        <f>D1149*E1149*F1149</f>
        <v>86400000</v>
      </c>
      <c r="H1149" s="283"/>
      <c r="I1149" s="57"/>
      <c r="J1149" s="57"/>
      <c r="K1149" s="57"/>
      <c r="L1149" s="57"/>
      <c r="M1149" s="57"/>
      <c r="N1149" s="58"/>
      <c r="O1149" s="58"/>
      <c r="P1149" s="58"/>
      <c r="Q1149" s="58"/>
      <c r="R1149" s="58"/>
      <c r="S1149" s="58"/>
      <c r="T1149" s="58"/>
      <c r="U1149" s="58"/>
    </row>
    <row r="1150" spans="1:21" s="59" customFormat="1" ht="12" customHeight="1" x14ac:dyDescent="0.25">
      <c r="A1150" s="66"/>
      <c r="B1150" s="70"/>
      <c r="C1150" s="63" t="s">
        <v>60</v>
      </c>
      <c r="D1150" s="63">
        <f>G1150/E1150/F1150</f>
        <v>24481.481481481478</v>
      </c>
      <c r="E1150" s="63">
        <f>E1149</f>
        <v>90</v>
      </c>
      <c r="F1150" s="63">
        <v>3</v>
      </c>
      <c r="G1150" s="64">
        <v>6610000</v>
      </c>
      <c r="H1150" s="283"/>
      <c r="I1150" s="57"/>
      <c r="J1150" s="57"/>
      <c r="K1150" s="57"/>
      <c r="L1150" s="57"/>
      <c r="M1150" s="57"/>
      <c r="N1150" s="58"/>
      <c r="O1150" s="58"/>
      <c r="P1150" s="58"/>
      <c r="Q1150" s="58"/>
      <c r="R1150" s="58"/>
      <c r="S1150" s="58"/>
      <c r="T1150" s="58"/>
      <c r="U1150" s="58"/>
    </row>
    <row r="1151" spans="1:21" s="59" customFormat="1" ht="12" customHeight="1" thickBot="1" x14ac:dyDescent="0.3">
      <c r="A1151" s="66"/>
      <c r="B1151" s="71"/>
      <c r="C1151" s="63"/>
      <c r="D1151" s="63"/>
      <c r="E1151" s="63"/>
      <c r="F1151" s="63"/>
      <c r="G1151" s="64"/>
      <c r="H1151" s="283"/>
      <c r="I1151" s="57"/>
      <c r="J1151" s="57"/>
      <c r="K1151" s="57"/>
      <c r="L1151" s="57"/>
      <c r="M1151" s="57"/>
      <c r="N1151" s="58"/>
      <c r="O1151" s="58"/>
      <c r="P1151" s="58"/>
      <c r="Q1151" s="58"/>
      <c r="R1151" s="58"/>
      <c r="S1151" s="58"/>
      <c r="T1151" s="58"/>
      <c r="U1151" s="58"/>
    </row>
    <row r="1152" spans="1:21" s="59" customFormat="1" ht="12" customHeight="1" thickBot="1" x14ac:dyDescent="0.3">
      <c r="A1152" s="66"/>
      <c r="B1152" s="71"/>
      <c r="C1152" s="72" t="s">
        <v>140</v>
      </c>
      <c r="D1152" s="72"/>
      <c r="E1152" s="72"/>
      <c r="F1152" s="72"/>
      <c r="G1152" s="73">
        <f>SUM(G1128:G1151)</f>
        <v>175575000</v>
      </c>
      <c r="H1152" s="286">
        <f>G1152/8136</f>
        <v>21580.014749262536</v>
      </c>
      <c r="I1152" s="57"/>
      <c r="J1152" s="57"/>
      <c r="K1152" s="57"/>
      <c r="L1152" s="57"/>
      <c r="M1152" s="57"/>
      <c r="N1152" s="58"/>
      <c r="O1152" s="58"/>
      <c r="P1152" s="58"/>
      <c r="Q1152" s="58"/>
      <c r="R1152" s="58"/>
      <c r="S1152" s="58"/>
      <c r="T1152" s="58"/>
      <c r="U1152" s="58"/>
    </row>
    <row r="1153" spans="1:21" s="59" customFormat="1" ht="12" customHeight="1" x14ac:dyDescent="0.25">
      <c r="A1153" s="66"/>
      <c r="B1153" s="71"/>
      <c r="C1153" s="63"/>
      <c r="D1153" s="63"/>
      <c r="E1153" s="63"/>
      <c r="F1153" s="63"/>
      <c r="G1153" s="64"/>
      <c r="H1153" s="283"/>
      <c r="I1153" s="57"/>
      <c r="J1153" s="57"/>
      <c r="K1153" s="57"/>
      <c r="L1153" s="57"/>
      <c r="M1153" s="57"/>
      <c r="N1153" s="58"/>
      <c r="O1153" s="58"/>
      <c r="P1153" s="58"/>
      <c r="Q1153" s="58"/>
      <c r="R1153" s="58"/>
      <c r="S1153" s="58"/>
      <c r="T1153" s="58"/>
      <c r="U1153" s="58"/>
    </row>
    <row r="1154" spans="1:21" s="59" customFormat="1" ht="12" customHeight="1" thickBot="1" x14ac:dyDescent="0.3">
      <c r="A1154" s="213"/>
      <c r="B1154" s="214"/>
      <c r="C1154" s="214"/>
      <c r="D1154" s="215"/>
      <c r="E1154" s="215"/>
      <c r="F1154" s="216"/>
      <c r="G1154" s="217"/>
      <c r="H1154" s="287">
        <f>SUM(H732:H1153)</f>
        <v>126495.57522123895</v>
      </c>
      <c r="I1154" s="57" t="s">
        <v>647</v>
      </c>
      <c r="J1154" s="57"/>
      <c r="K1154" s="57"/>
      <c r="L1154" s="57"/>
      <c r="M1154" s="57"/>
      <c r="N1154" s="58"/>
      <c r="O1154" s="58"/>
      <c r="P1154" s="58"/>
      <c r="Q1154" s="58"/>
      <c r="R1154" s="58"/>
      <c r="S1154" s="58"/>
      <c r="T1154" s="58"/>
      <c r="U1154" s="58"/>
    </row>
    <row r="1155" spans="1:21" s="57" customFormat="1" ht="12.75" customHeight="1" x14ac:dyDescent="0.25">
      <c r="H1155" s="55"/>
    </row>
    <row r="1156" spans="1:21" s="57" customFormat="1" ht="12" x14ac:dyDescent="0.25">
      <c r="H1156" s="55"/>
    </row>
    <row r="1157" spans="1:21" s="42" customFormat="1" ht="24" customHeight="1" x14ac:dyDescent="0.25">
      <c r="A1157" s="288" t="s">
        <v>648</v>
      </c>
      <c r="B1157" s="288"/>
      <c r="C1157" s="288"/>
      <c r="D1157" s="288"/>
      <c r="E1157" s="288"/>
      <c r="F1157" s="288"/>
      <c r="G1157" s="288"/>
    </row>
    <row r="1158" spans="1:21" s="290" customFormat="1" ht="27.75" customHeight="1" thickBot="1" x14ac:dyDescent="0.3">
      <c r="A1158" s="289" t="s">
        <v>649</v>
      </c>
      <c r="B1158" s="289"/>
      <c r="C1158" s="289"/>
      <c r="D1158" s="289"/>
      <c r="E1158" s="289"/>
      <c r="F1158" s="289"/>
      <c r="G1158" s="289"/>
    </row>
    <row r="1159" spans="1:21" s="296" customFormat="1" ht="12" customHeight="1" x14ac:dyDescent="0.25">
      <c r="A1159" s="291" t="s">
        <v>650</v>
      </c>
      <c r="B1159" s="762" t="s">
        <v>651</v>
      </c>
      <c r="C1159" s="292" t="s">
        <v>652</v>
      </c>
      <c r="D1159" s="292">
        <v>150000</v>
      </c>
      <c r="E1159" s="292">
        <v>1</v>
      </c>
      <c r="F1159" s="292">
        <v>1</v>
      </c>
      <c r="G1159" s="293">
        <f>D1159*E1159*F1159</f>
        <v>150000</v>
      </c>
      <c r="H1159" s="294"/>
      <c r="I1159" s="295"/>
      <c r="J1159" s="295"/>
      <c r="K1159" s="295"/>
      <c r="L1159" s="295"/>
      <c r="M1159" s="295"/>
    </row>
    <row r="1160" spans="1:21" s="296" customFormat="1" ht="27" customHeight="1" x14ac:dyDescent="0.25">
      <c r="A1160" s="297"/>
      <c r="B1160" s="763"/>
      <c r="C1160" s="298" t="s">
        <v>653</v>
      </c>
      <c r="D1160" s="299"/>
      <c r="E1160" s="299">
        <f>11+2+2+6+3+1+2+3</f>
        <v>30</v>
      </c>
      <c r="F1160" s="299"/>
      <c r="G1160" s="300">
        <f>D1160*E1160*F1160</f>
        <v>0</v>
      </c>
      <c r="H1160" s="294"/>
      <c r="I1160" s="295"/>
      <c r="J1160" s="295"/>
      <c r="K1160" s="295"/>
      <c r="L1160" s="295"/>
      <c r="M1160" s="295"/>
    </row>
    <row r="1161" spans="1:21" s="296" customFormat="1" ht="12" customHeight="1" x14ac:dyDescent="0.25">
      <c r="A1161" s="301"/>
      <c r="B1161" s="301"/>
      <c r="C1161" s="299" t="s">
        <v>593</v>
      </c>
      <c r="D1161" s="299"/>
      <c r="E1161" s="299">
        <v>5</v>
      </c>
      <c r="F1161" s="299"/>
      <c r="G1161" s="300">
        <f t="shared" ref="G1161:G1171" si="110">D1161*E1161*F1161</f>
        <v>0</v>
      </c>
      <c r="H1161" s="294"/>
      <c r="I1161" s="295"/>
      <c r="J1161" s="295"/>
      <c r="K1161" s="295"/>
      <c r="L1161" s="295"/>
      <c r="M1161" s="295"/>
    </row>
    <row r="1162" spans="1:21" s="296" customFormat="1" ht="12" customHeight="1" x14ac:dyDescent="0.25">
      <c r="A1162" s="301"/>
      <c r="B1162" s="301"/>
      <c r="C1162" s="299" t="s">
        <v>654</v>
      </c>
      <c r="D1162" s="299"/>
      <c r="E1162" s="299">
        <v>5</v>
      </c>
      <c r="F1162" s="299"/>
      <c r="G1162" s="300">
        <f t="shared" si="110"/>
        <v>0</v>
      </c>
      <c r="H1162" s="294"/>
      <c r="I1162" s="295"/>
      <c r="J1162" s="295"/>
      <c r="K1162" s="295"/>
      <c r="L1162" s="295"/>
      <c r="M1162" s="295"/>
    </row>
    <row r="1163" spans="1:21" s="296" customFormat="1" ht="15.75" x14ac:dyDescent="0.25">
      <c r="A1163" s="301"/>
      <c r="B1163" s="301"/>
      <c r="C1163" s="299" t="s">
        <v>595</v>
      </c>
      <c r="D1163" s="299"/>
      <c r="E1163" s="299">
        <v>5</v>
      </c>
      <c r="F1163" s="299"/>
      <c r="G1163" s="300">
        <f t="shared" si="110"/>
        <v>0</v>
      </c>
      <c r="H1163" s="294"/>
      <c r="I1163" s="295"/>
      <c r="J1163" s="295"/>
      <c r="K1163" s="295"/>
      <c r="L1163" s="295"/>
      <c r="M1163" s="295"/>
    </row>
    <row r="1164" spans="1:21" s="296" customFormat="1" ht="15.75" x14ac:dyDescent="0.25">
      <c r="A1164" s="301"/>
      <c r="B1164" s="301"/>
      <c r="C1164" s="299" t="s">
        <v>655</v>
      </c>
      <c r="D1164" s="299">
        <v>250000</v>
      </c>
      <c r="E1164" s="299">
        <v>16</v>
      </c>
      <c r="F1164" s="299">
        <v>3</v>
      </c>
      <c r="G1164" s="300">
        <f t="shared" si="110"/>
        <v>12000000</v>
      </c>
      <c r="H1164" s="294"/>
      <c r="I1164" s="295"/>
      <c r="J1164" s="295"/>
      <c r="K1164" s="295"/>
      <c r="L1164" s="295"/>
      <c r="M1164" s="295"/>
    </row>
    <row r="1165" spans="1:21" s="296" customFormat="1" ht="12" customHeight="1" x14ac:dyDescent="0.25">
      <c r="A1165" s="301"/>
      <c r="B1165" s="301"/>
      <c r="C1165" s="299" t="s">
        <v>656</v>
      </c>
      <c r="D1165" s="299">
        <v>100000</v>
      </c>
      <c r="E1165" s="299">
        <f>E1164</f>
        <v>16</v>
      </c>
      <c r="F1165" s="299">
        <v>1</v>
      </c>
      <c r="G1165" s="300">
        <f t="shared" si="110"/>
        <v>1600000</v>
      </c>
      <c r="H1165" s="294"/>
      <c r="I1165" s="295"/>
      <c r="J1165" s="295"/>
      <c r="K1165" s="295"/>
      <c r="L1165" s="295"/>
      <c r="M1165" s="295"/>
    </row>
    <row r="1166" spans="1:21" s="296" customFormat="1" ht="12" customHeight="1" x14ac:dyDescent="0.25">
      <c r="A1166" s="301"/>
      <c r="B1166" s="301"/>
      <c r="C1166" s="299" t="s">
        <v>657</v>
      </c>
      <c r="D1166" s="299">
        <v>250000</v>
      </c>
      <c r="E1166" s="299">
        <f>1*4</f>
        <v>4</v>
      </c>
      <c r="F1166" s="299">
        <v>3</v>
      </c>
      <c r="G1166" s="300">
        <f t="shared" si="110"/>
        <v>3000000</v>
      </c>
      <c r="H1166" s="294"/>
      <c r="I1166" s="295"/>
      <c r="J1166" s="295"/>
      <c r="K1166" s="295"/>
      <c r="L1166" s="295"/>
      <c r="M1166" s="295"/>
    </row>
    <row r="1167" spans="1:21" s="296" customFormat="1" ht="12" customHeight="1" x14ac:dyDescent="0.25">
      <c r="A1167" s="301"/>
      <c r="B1167" s="301"/>
      <c r="C1167" s="299" t="s">
        <v>658</v>
      </c>
      <c r="D1167" s="299">
        <f>D1165</f>
        <v>100000</v>
      </c>
      <c r="E1167" s="299">
        <f>1*4</f>
        <v>4</v>
      </c>
      <c r="F1167" s="299">
        <v>1</v>
      </c>
      <c r="G1167" s="300">
        <f t="shared" si="110"/>
        <v>400000</v>
      </c>
      <c r="H1167" s="294"/>
      <c r="I1167" s="295"/>
      <c r="J1167" s="295"/>
      <c r="K1167" s="295"/>
      <c r="L1167" s="295"/>
      <c r="M1167" s="295"/>
    </row>
    <row r="1168" spans="1:21" s="296" customFormat="1" ht="12" customHeight="1" x14ac:dyDescent="0.25">
      <c r="A1168" s="301"/>
      <c r="B1168" s="301"/>
      <c r="C1168" s="299" t="s">
        <v>659</v>
      </c>
      <c r="D1168" s="299">
        <v>250000</v>
      </c>
      <c r="E1168" s="299">
        <v>8</v>
      </c>
      <c r="F1168" s="299">
        <v>4</v>
      </c>
      <c r="G1168" s="300">
        <f t="shared" si="110"/>
        <v>8000000</v>
      </c>
      <c r="H1168" s="294"/>
      <c r="I1168" s="295"/>
      <c r="J1168" s="295"/>
      <c r="K1168" s="295"/>
      <c r="L1168" s="295"/>
      <c r="M1168" s="295"/>
    </row>
    <row r="1169" spans="1:13" s="296" customFormat="1" ht="15.75" x14ac:dyDescent="0.25">
      <c r="A1169" s="301"/>
      <c r="B1169" s="301"/>
      <c r="C1169" s="299" t="s">
        <v>660</v>
      </c>
      <c r="D1169" s="299">
        <f>D1165</f>
        <v>100000</v>
      </c>
      <c r="E1169" s="299">
        <f>E1168</f>
        <v>8</v>
      </c>
      <c r="F1169" s="299">
        <v>1</v>
      </c>
      <c r="G1169" s="300">
        <f t="shared" si="110"/>
        <v>800000</v>
      </c>
      <c r="H1169" s="294"/>
      <c r="I1169" s="295"/>
      <c r="J1169" s="295"/>
      <c r="K1169" s="295"/>
      <c r="L1169" s="295"/>
      <c r="M1169" s="295"/>
    </row>
    <row r="1170" spans="1:13" s="296" customFormat="1" ht="15.75" x14ac:dyDescent="0.25">
      <c r="A1170" s="301"/>
      <c r="B1170" s="301"/>
      <c r="C1170" s="299" t="s">
        <v>661</v>
      </c>
      <c r="D1170" s="299">
        <v>250000</v>
      </c>
      <c r="E1170" s="299">
        <v>2</v>
      </c>
      <c r="F1170" s="299">
        <v>4</v>
      </c>
      <c r="G1170" s="300">
        <f t="shared" si="110"/>
        <v>2000000</v>
      </c>
      <c r="H1170" s="294"/>
      <c r="I1170" s="295"/>
      <c r="J1170" s="295"/>
      <c r="K1170" s="295"/>
      <c r="L1170" s="295"/>
      <c r="M1170" s="295"/>
    </row>
    <row r="1171" spans="1:13" s="296" customFormat="1" ht="15.75" x14ac:dyDescent="0.25">
      <c r="A1171" s="301"/>
      <c r="B1171" s="301"/>
      <c r="C1171" s="299" t="s">
        <v>662</v>
      </c>
      <c r="D1171" s="299">
        <f>D1165</f>
        <v>100000</v>
      </c>
      <c r="E1171" s="299">
        <f>E1170</f>
        <v>2</v>
      </c>
      <c r="F1171" s="299">
        <v>1</v>
      </c>
      <c r="G1171" s="300">
        <f t="shared" si="110"/>
        <v>200000</v>
      </c>
      <c r="H1171" s="294"/>
      <c r="I1171" s="295"/>
      <c r="J1171" s="295"/>
      <c r="K1171" s="295"/>
      <c r="L1171" s="295"/>
      <c r="M1171" s="295"/>
    </row>
    <row r="1172" spans="1:13" s="296" customFormat="1" ht="15.75" x14ac:dyDescent="0.25">
      <c r="A1172" s="301"/>
      <c r="B1172" s="301"/>
      <c r="C1172" s="299" t="s">
        <v>663</v>
      </c>
      <c r="D1172" s="299">
        <v>250000</v>
      </c>
      <c r="E1172" s="299">
        <v>4</v>
      </c>
      <c r="F1172" s="299">
        <v>5</v>
      </c>
      <c r="G1172" s="300">
        <f>D1172*E1172*F1172</f>
        <v>5000000</v>
      </c>
      <c r="H1172" s="294"/>
      <c r="I1172" s="295"/>
      <c r="J1172" s="295"/>
      <c r="K1172" s="295"/>
      <c r="L1172" s="295"/>
      <c r="M1172" s="295"/>
    </row>
    <row r="1173" spans="1:13" s="296" customFormat="1" ht="15.75" x14ac:dyDescent="0.25">
      <c r="A1173" s="301"/>
      <c r="B1173" s="301"/>
      <c r="C1173" s="299" t="s">
        <v>664</v>
      </c>
      <c r="D1173" s="299">
        <f>D1169</f>
        <v>100000</v>
      </c>
      <c r="E1173" s="299">
        <f>E1172</f>
        <v>4</v>
      </c>
      <c r="F1173" s="299">
        <v>1</v>
      </c>
      <c r="G1173" s="300">
        <f>D1173*E1173*F1173</f>
        <v>400000</v>
      </c>
      <c r="H1173" s="294"/>
      <c r="I1173" s="295"/>
      <c r="J1173" s="295"/>
      <c r="K1173" s="295"/>
      <c r="L1173" s="295"/>
      <c r="M1173" s="295"/>
    </row>
    <row r="1174" spans="1:13" s="296" customFormat="1" ht="15.75" x14ac:dyDescent="0.25">
      <c r="A1174" s="301"/>
      <c r="B1174" s="301"/>
      <c r="C1174" s="299" t="s">
        <v>665</v>
      </c>
      <c r="D1174" s="299">
        <v>250000</v>
      </c>
      <c r="E1174" s="299">
        <v>1</v>
      </c>
      <c r="F1174" s="299">
        <v>5</v>
      </c>
      <c r="G1174" s="300">
        <f>D1174*E1174*F1174</f>
        <v>1250000</v>
      </c>
      <c r="H1174" s="294"/>
      <c r="I1174" s="295"/>
      <c r="J1174" s="295"/>
      <c r="K1174" s="295"/>
      <c r="L1174" s="295"/>
      <c r="M1174" s="295"/>
    </row>
    <row r="1175" spans="1:13" s="296" customFormat="1" ht="15.75" x14ac:dyDescent="0.25">
      <c r="A1175" s="301"/>
      <c r="B1175" s="301"/>
      <c r="C1175" s="299" t="s">
        <v>666</v>
      </c>
      <c r="D1175" s="299">
        <f>D1167</f>
        <v>100000</v>
      </c>
      <c r="E1175" s="299">
        <f>E1174</f>
        <v>1</v>
      </c>
      <c r="F1175" s="299">
        <v>1</v>
      </c>
      <c r="G1175" s="300">
        <f>D1175*E1175*F1175</f>
        <v>100000</v>
      </c>
      <c r="H1175" s="294"/>
      <c r="I1175" s="295"/>
      <c r="J1175" s="295"/>
      <c r="K1175" s="295"/>
      <c r="L1175" s="295"/>
      <c r="M1175" s="295"/>
    </row>
    <row r="1176" spans="1:13" s="296" customFormat="1" ht="15.75" x14ac:dyDescent="0.25">
      <c r="A1176" s="301"/>
      <c r="B1176" s="301"/>
      <c r="C1176" s="299" t="s">
        <v>667</v>
      </c>
      <c r="D1176" s="299">
        <f>44*7500</f>
        <v>330000</v>
      </c>
      <c r="E1176" s="299">
        <v>1</v>
      </c>
      <c r="F1176" s="299">
        <v>2</v>
      </c>
      <c r="G1176" s="300">
        <f t="shared" ref="G1176:G1183" si="111">D1176*E1176*F1176</f>
        <v>660000</v>
      </c>
      <c r="H1176" s="294"/>
      <c r="I1176" s="295"/>
      <c r="J1176" s="295"/>
      <c r="K1176" s="295"/>
      <c r="L1176" s="295"/>
      <c r="M1176" s="295"/>
    </row>
    <row r="1177" spans="1:13" s="296" customFormat="1" ht="15.75" x14ac:dyDescent="0.25">
      <c r="A1177" s="301"/>
      <c r="B1177" s="301"/>
      <c r="C1177" s="299" t="s">
        <v>668</v>
      </c>
      <c r="D1177" s="299">
        <f>59*7500</f>
        <v>442500</v>
      </c>
      <c r="E1177" s="299">
        <v>1</v>
      </c>
      <c r="F1177" s="299">
        <v>2</v>
      </c>
      <c r="G1177" s="300">
        <f t="shared" si="111"/>
        <v>885000</v>
      </c>
      <c r="H1177" s="294"/>
      <c r="I1177" s="295"/>
      <c r="J1177" s="295"/>
      <c r="K1177" s="295"/>
      <c r="L1177" s="295"/>
      <c r="M1177" s="295"/>
    </row>
    <row r="1178" spans="1:13" s="296" customFormat="1" ht="15.75" x14ac:dyDescent="0.25">
      <c r="A1178" s="297"/>
      <c r="B1178" s="302"/>
      <c r="C1178" s="299" t="s">
        <v>669</v>
      </c>
      <c r="D1178" s="299">
        <f>84*7500</f>
        <v>630000</v>
      </c>
      <c r="E1178" s="299">
        <v>1</v>
      </c>
      <c r="F1178" s="299">
        <v>2</v>
      </c>
      <c r="G1178" s="300">
        <f t="shared" si="111"/>
        <v>1260000</v>
      </c>
      <c r="H1178" s="294"/>
      <c r="I1178" s="295"/>
      <c r="J1178" s="295"/>
      <c r="K1178" s="295"/>
      <c r="L1178" s="295"/>
      <c r="M1178" s="295"/>
    </row>
    <row r="1179" spans="1:13" s="296" customFormat="1" ht="15.75" x14ac:dyDescent="0.25">
      <c r="A1179" s="297"/>
      <c r="B1179" s="302"/>
      <c r="C1179" s="299" t="s">
        <v>670</v>
      </c>
      <c r="D1179" s="299">
        <f>65*7500</f>
        <v>487500</v>
      </c>
      <c r="E1179" s="299">
        <v>1</v>
      </c>
      <c r="F1179" s="299">
        <v>2</v>
      </c>
      <c r="G1179" s="300">
        <f t="shared" si="111"/>
        <v>975000</v>
      </c>
      <c r="H1179" s="294"/>
      <c r="I1179" s="295"/>
      <c r="J1179" s="295"/>
      <c r="K1179" s="295"/>
      <c r="L1179" s="295"/>
      <c r="M1179" s="295"/>
    </row>
    <row r="1180" spans="1:13" s="296" customFormat="1" ht="15.75" x14ac:dyDescent="0.25">
      <c r="A1180" s="297"/>
      <c r="B1180" s="302"/>
      <c r="C1180" s="299" t="s">
        <v>671</v>
      </c>
      <c r="D1180" s="299">
        <f>149*7500</f>
        <v>1117500</v>
      </c>
      <c r="E1180" s="299">
        <v>1</v>
      </c>
      <c r="F1180" s="299">
        <v>2</v>
      </c>
      <c r="G1180" s="300">
        <f t="shared" si="111"/>
        <v>2235000</v>
      </c>
      <c r="H1180" s="294"/>
      <c r="I1180" s="295"/>
      <c r="J1180" s="295"/>
      <c r="K1180" s="295"/>
      <c r="L1180" s="295"/>
      <c r="M1180" s="295"/>
    </row>
    <row r="1181" spans="1:13" s="296" customFormat="1" ht="15.75" x14ac:dyDescent="0.25">
      <c r="A1181" s="297"/>
      <c r="B1181" s="302"/>
      <c r="C1181" s="299" t="s">
        <v>672</v>
      </c>
      <c r="D1181" s="299">
        <f>117*7500</f>
        <v>877500</v>
      </c>
      <c r="E1181" s="299">
        <v>1</v>
      </c>
      <c r="F1181" s="299">
        <v>2</v>
      </c>
      <c r="G1181" s="300">
        <f t="shared" si="111"/>
        <v>1755000</v>
      </c>
      <c r="H1181" s="294"/>
      <c r="I1181" s="295"/>
      <c r="J1181" s="295"/>
      <c r="K1181" s="295"/>
      <c r="L1181" s="295"/>
      <c r="M1181" s="295"/>
    </row>
    <row r="1182" spans="1:13" s="296" customFormat="1" ht="15.75" x14ac:dyDescent="0.25">
      <c r="A1182" s="297"/>
      <c r="B1182" s="302"/>
      <c r="C1182" s="299" t="s">
        <v>673</v>
      </c>
      <c r="D1182" s="299">
        <f>107*7500</f>
        <v>802500</v>
      </c>
      <c r="E1182" s="299">
        <v>1</v>
      </c>
      <c r="F1182" s="299">
        <v>2</v>
      </c>
      <c r="G1182" s="300">
        <f t="shared" si="111"/>
        <v>1605000</v>
      </c>
      <c r="H1182" s="294"/>
      <c r="I1182" s="295"/>
      <c r="J1182" s="295"/>
      <c r="K1182" s="295"/>
      <c r="L1182" s="295"/>
      <c r="M1182" s="295"/>
    </row>
    <row r="1183" spans="1:13" s="296" customFormat="1" ht="31.5" x14ac:dyDescent="0.25">
      <c r="A1183" s="297"/>
      <c r="B1183" s="302"/>
      <c r="C1183" s="298" t="s">
        <v>602</v>
      </c>
      <c r="D1183" s="299">
        <v>300000</v>
      </c>
      <c r="E1183" s="299">
        <f>E1159+E1160+E1161+E1162+E1163+E1164+E1168+E1172</f>
        <v>74</v>
      </c>
      <c r="F1183" s="299">
        <v>2</v>
      </c>
      <c r="G1183" s="300">
        <f t="shared" si="111"/>
        <v>44400000</v>
      </c>
      <c r="H1183" s="294"/>
      <c r="I1183" s="295"/>
      <c r="J1183" s="295"/>
      <c r="K1183" s="295"/>
      <c r="L1183" s="295"/>
      <c r="M1183" s="295"/>
    </row>
    <row r="1184" spans="1:13" s="296" customFormat="1" ht="15.75" x14ac:dyDescent="0.25">
      <c r="A1184" s="297"/>
      <c r="B1184" s="302"/>
      <c r="C1184" s="299" t="s">
        <v>60</v>
      </c>
      <c r="D1184" s="299">
        <f>G1184/E1184</f>
        <v>28878.37837837838</v>
      </c>
      <c r="E1184" s="299">
        <f>E1183</f>
        <v>74</v>
      </c>
      <c r="F1184" s="299">
        <v>1</v>
      </c>
      <c r="G1184" s="300">
        <v>2137000</v>
      </c>
      <c r="H1184" s="294"/>
      <c r="I1184" s="295"/>
      <c r="J1184" s="295"/>
      <c r="K1184" s="295"/>
      <c r="L1184" s="295"/>
      <c r="M1184" s="295"/>
    </row>
    <row r="1185" spans="1:21" s="296" customFormat="1" ht="12" customHeight="1" x14ac:dyDescent="0.25">
      <c r="A1185" s="297"/>
      <c r="B1185" s="302"/>
      <c r="C1185" s="299" t="s">
        <v>147</v>
      </c>
      <c r="D1185" s="299">
        <f>G1185/E1185/F1185</f>
        <v>202500</v>
      </c>
      <c r="E1185" s="299">
        <v>4</v>
      </c>
      <c r="F1185" s="299">
        <v>2</v>
      </c>
      <c r="G1185" s="300">
        <v>1620000</v>
      </c>
      <c r="H1185" s="294"/>
      <c r="I1185" s="295"/>
      <c r="J1185" s="295"/>
      <c r="K1185" s="295"/>
      <c r="L1185" s="295"/>
      <c r="M1185" s="295"/>
    </row>
    <row r="1186" spans="1:21" s="296" customFormat="1" ht="12" customHeight="1" thickBot="1" x14ac:dyDescent="0.3">
      <c r="A1186" s="297"/>
      <c r="B1186" s="303"/>
      <c r="C1186" s="299"/>
      <c r="D1186" s="299"/>
      <c r="E1186" s="299"/>
      <c r="F1186" s="299"/>
      <c r="G1186" s="300"/>
      <c r="H1186" s="294"/>
      <c r="I1186" s="295"/>
      <c r="J1186" s="295"/>
      <c r="K1186" s="295"/>
      <c r="L1186" s="295"/>
      <c r="M1186" s="295"/>
    </row>
    <row r="1187" spans="1:21" s="296" customFormat="1" ht="12" customHeight="1" thickBot="1" x14ac:dyDescent="0.3">
      <c r="A1187" s="297"/>
      <c r="B1187" s="303"/>
      <c r="C1187" s="304" t="s">
        <v>140</v>
      </c>
      <c r="D1187" s="304"/>
      <c r="E1187" s="304"/>
      <c r="F1187" s="304"/>
      <c r="G1187" s="305">
        <f>SUM(G1159:G1186)</f>
        <v>92432000</v>
      </c>
      <c r="H1187" s="306">
        <f>G1187/8136</f>
        <v>11360.86529006883</v>
      </c>
      <c r="I1187" s="295"/>
      <c r="J1187" s="295"/>
      <c r="K1187" s="295"/>
      <c r="L1187" s="295"/>
      <c r="M1187" s="295"/>
    </row>
    <row r="1188" spans="1:21" s="296" customFormat="1" ht="12" customHeight="1" x14ac:dyDescent="0.25">
      <c r="A1188" s="297"/>
      <c r="B1188" s="303"/>
      <c r="C1188" s="299"/>
      <c r="D1188" s="299"/>
      <c r="E1188" s="299"/>
      <c r="F1188" s="299"/>
      <c r="G1188" s="300"/>
      <c r="H1188" s="294"/>
      <c r="I1188" s="295"/>
      <c r="J1188" s="295"/>
      <c r="K1188" s="295"/>
      <c r="L1188" s="295"/>
      <c r="M1188" s="295"/>
    </row>
    <row r="1189" spans="1:21" s="296" customFormat="1" ht="12" customHeight="1" thickBot="1" x14ac:dyDescent="0.3">
      <c r="A1189" s="307"/>
      <c r="B1189" s="308"/>
      <c r="C1189" s="308"/>
      <c r="D1189" s="309"/>
      <c r="E1189" s="309"/>
      <c r="F1189" s="310"/>
      <c r="G1189" s="311"/>
      <c r="H1189" s="294"/>
      <c r="I1189" s="295"/>
      <c r="J1189" s="295"/>
      <c r="K1189" s="295"/>
      <c r="L1189" s="295"/>
      <c r="M1189" s="295"/>
    </row>
    <row r="1190" spans="1:21" s="317" customFormat="1" ht="15.75" thickBot="1" x14ac:dyDescent="0.3">
      <c r="A1190" s="312"/>
      <c r="B1190" s="313"/>
      <c r="C1190" s="313"/>
      <c r="D1190" s="313"/>
      <c r="E1190" s="313"/>
      <c r="F1190" s="313"/>
      <c r="G1190" s="314"/>
      <c r="H1190" s="315"/>
      <c r="I1190" s="316"/>
      <c r="J1190" s="316"/>
      <c r="K1190" s="316"/>
      <c r="L1190" s="316"/>
      <c r="M1190" s="316"/>
      <c r="N1190" s="316"/>
      <c r="O1190" s="316"/>
      <c r="P1190" s="316"/>
    </row>
    <row r="1191" spans="1:21" s="59" customFormat="1" ht="12" customHeight="1" x14ac:dyDescent="0.25">
      <c r="A1191" s="318" t="s">
        <v>674</v>
      </c>
      <c r="B1191" s="764" t="s">
        <v>675</v>
      </c>
      <c r="C1191" s="319" t="s">
        <v>676</v>
      </c>
      <c r="D1191" s="319">
        <v>150000</v>
      </c>
      <c r="E1191" s="319">
        <v>1</v>
      </c>
      <c r="F1191" s="319">
        <v>1</v>
      </c>
      <c r="G1191" s="320">
        <f>D1191*E1191*F1191</f>
        <v>150000</v>
      </c>
      <c r="H1191" s="252"/>
      <c r="I1191" s="57"/>
      <c r="J1191" s="57"/>
      <c r="K1191" s="57"/>
      <c r="L1191" s="57"/>
      <c r="M1191" s="57"/>
      <c r="N1191" s="58"/>
      <c r="O1191" s="58"/>
      <c r="P1191" s="58"/>
      <c r="Q1191" s="58"/>
      <c r="R1191" s="58"/>
      <c r="S1191" s="58"/>
      <c r="T1191" s="58"/>
      <c r="U1191" s="58"/>
    </row>
    <row r="1192" spans="1:21" s="59" customFormat="1" ht="36.75" customHeight="1" x14ac:dyDescent="0.25">
      <c r="A1192" s="321"/>
      <c r="B1192" s="765"/>
      <c r="C1192" s="322" t="s">
        <v>677</v>
      </c>
      <c r="D1192" s="323"/>
      <c r="E1192" s="323">
        <v>19</v>
      </c>
      <c r="F1192" s="323"/>
      <c r="G1192" s="324">
        <f>D1192*E1192*F1192</f>
        <v>0</v>
      </c>
      <c r="H1192" s="252"/>
      <c r="I1192" s="57"/>
      <c r="J1192" s="57"/>
      <c r="K1192" s="57"/>
      <c r="L1192" s="57"/>
      <c r="M1192" s="57"/>
      <c r="N1192" s="58"/>
      <c r="O1192" s="58"/>
      <c r="P1192" s="58"/>
      <c r="Q1192" s="58"/>
      <c r="R1192" s="58"/>
      <c r="S1192" s="58"/>
      <c r="T1192" s="58"/>
      <c r="U1192" s="58"/>
    </row>
    <row r="1193" spans="1:21" s="59" customFormat="1" ht="12" customHeight="1" x14ac:dyDescent="0.25">
      <c r="A1193" s="321"/>
      <c r="B1193" s="325"/>
      <c r="C1193" s="323" t="s">
        <v>593</v>
      </c>
      <c r="D1193" s="323"/>
      <c r="E1193" s="323">
        <v>4</v>
      </c>
      <c r="F1193" s="323"/>
      <c r="G1193" s="324">
        <f t="shared" ref="G1193:G1203" si="112">D1193*E1193*F1193</f>
        <v>0</v>
      </c>
      <c r="H1193" s="252"/>
      <c r="I1193" s="57"/>
      <c r="J1193" s="57"/>
      <c r="K1193" s="57"/>
      <c r="L1193" s="57"/>
      <c r="M1193" s="57"/>
      <c r="N1193" s="58"/>
      <c r="O1193" s="58"/>
      <c r="P1193" s="58"/>
      <c r="Q1193" s="58"/>
      <c r="R1193" s="58"/>
      <c r="S1193" s="58"/>
      <c r="T1193" s="58"/>
      <c r="U1193" s="58"/>
    </row>
    <row r="1194" spans="1:21" s="59" customFormat="1" ht="12" customHeight="1" x14ac:dyDescent="0.25">
      <c r="A1194" s="321"/>
      <c r="B1194" s="325"/>
      <c r="C1194" s="323" t="s">
        <v>654</v>
      </c>
      <c r="D1194" s="323"/>
      <c r="E1194" s="323">
        <v>4</v>
      </c>
      <c r="F1194" s="323"/>
      <c r="G1194" s="324">
        <f t="shared" si="112"/>
        <v>0</v>
      </c>
      <c r="H1194" s="252"/>
      <c r="I1194" s="57"/>
      <c r="J1194" s="57"/>
      <c r="K1194" s="57"/>
      <c r="L1194" s="57"/>
      <c r="M1194" s="57"/>
      <c r="N1194" s="58"/>
      <c r="O1194" s="58"/>
      <c r="P1194" s="58"/>
      <c r="Q1194" s="58"/>
      <c r="R1194" s="58"/>
      <c r="S1194" s="58"/>
      <c r="T1194" s="58"/>
      <c r="U1194" s="58"/>
    </row>
    <row r="1195" spans="1:21" s="59" customFormat="1" ht="12" customHeight="1" x14ac:dyDescent="0.25">
      <c r="A1195" s="321"/>
      <c r="B1195" s="326"/>
      <c r="C1195" s="323" t="s">
        <v>595</v>
      </c>
      <c r="D1195" s="323"/>
      <c r="E1195" s="323">
        <v>4</v>
      </c>
      <c r="F1195" s="323"/>
      <c r="G1195" s="324">
        <f t="shared" si="112"/>
        <v>0</v>
      </c>
      <c r="H1195" s="252"/>
      <c r="I1195" s="57"/>
      <c r="J1195" s="57"/>
      <c r="K1195" s="57"/>
      <c r="L1195" s="57"/>
      <c r="M1195" s="57"/>
      <c r="N1195" s="58"/>
      <c r="O1195" s="58"/>
      <c r="P1195" s="58"/>
      <c r="Q1195" s="58"/>
      <c r="R1195" s="58"/>
      <c r="S1195" s="58"/>
      <c r="T1195" s="58"/>
      <c r="U1195" s="58"/>
    </row>
    <row r="1196" spans="1:21" s="59" customFormat="1" ht="12" customHeight="1" x14ac:dyDescent="0.25">
      <c r="A1196" s="321"/>
      <c r="B1196" s="326"/>
      <c r="C1196" s="323" t="s">
        <v>655</v>
      </c>
      <c r="D1196" s="323">
        <v>250000</v>
      </c>
      <c r="E1196" s="323">
        <v>16</v>
      </c>
      <c r="F1196" s="323">
        <v>3</v>
      </c>
      <c r="G1196" s="324">
        <f t="shared" si="112"/>
        <v>12000000</v>
      </c>
      <c r="H1196" s="252"/>
      <c r="I1196" s="57"/>
      <c r="J1196" s="57"/>
      <c r="K1196" s="57"/>
      <c r="L1196" s="57"/>
      <c r="M1196" s="57"/>
      <c r="N1196" s="58"/>
      <c r="O1196" s="58"/>
      <c r="P1196" s="58"/>
      <c r="Q1196" s="58"/>
      <c r="R1196" s="58"/>
      <c r="S1196" s="58"/>
      <c r="T1196" s="58"/>
      <c r="U1196" s="58"/>
    </row>
    <row r="1197" spans="1:21" s="59" customFormat="1" ht="12" customHeight="1" x14ac:dyDescent="0.25">
      <c r="A1197" s="321"/>
      <c r="B1197" s="326"/>
      <c r="C1197" s="323" t="s">
        <v>656</v>
      </c>
      <c r="D1197" s="323">
        <v>100000</v>
      </c>
      <c r="E1197" s="323">
        <f>E1196</f>
        <v>16</v>
      </c>
      <c r="F1197" s="323">
        <v>1</v>
      </c>
      <c r="G1197" s="324">
        <f t="shared" si="112"/>
        <v>1600000</v>
      </c>
      <c r="H1197" s="252"/>
      <c r="I1197" s="57"/>
      <c r="J1197" s="57"/>
      <c r="K1197" s="57"/>
      <c r="L1197" s="57"/>
      <c r="M1197" s="57"/>
      <c r="N1197" s="58"/>
      <c r="O1197" s="58"/>
      <c r="P1197" s="58"/>
      <c r="Q1197" s="58"/>
      <c r="R1197" s="58"/>
      <c r="S1197" s="58"/>
      <c r="T1197" s="58"/>
      <c r="U1197" s="58"/>
    </row>
    <row r="1198" spans="1:21" s="59" customFormat="1" ht="12" customHeight="1" x14ac:dyDescent="0.25">
      <c r="A1198" s="321"/>
      <c r="B1198" s="326"/>
      <c r="C1198" s="323" t="s">
        <v>657</v>
      </c>
      <c r="D1198" s="323">
        <v>250000</v>
      </c>
      <c r="E1198" s="323">
        <f>1*4</f>
        <v>4</v>
      </c>
      <c r="F1198" s="323">
        <v>3</v>
      </c>
      <c r="G1198" s="324">
        <f t="shared" si="112"/>
        <v>3000000</v>
      </c>
      <c r="H1198" s="252"/>
      <c r="I1198" s="57"/>
      <c r="J1198" s="57"/>
      <c r="K1198" s="57"/>
      <c r="L1198" s="57"/>
      <c r="M1198" s="57"/>
      <c r="N1198" s="58"/>
      <c r="O1198" s="58"/>
      <c r="P1198" s="58"/>
      <c r="Q1198" s="58"/>
      <c r="R1198" s="58"/>
      <c r="S1198" s="58"/>
      <c r="T1198" s="58"/>
      <c r="U1198" s="58"/>
    </row>
    <row r="1199" spans="1:21" s="59" customFormat="1" ht="12" customHeight="1" x14ac:dyDescent="0.25">
      <c r="A1199" s="321"/>
      <c r="B1199" s="326"/>
      <c r="C1199" s="323" t="s">
        <v>658</v>
      </c>
      <c r="D1199" s="323">
        <f>D1197</f>
        <v>100000</v>
      </c>
      <c r="E1199" s="323">
        <f>1*4</f>
        <v>4</v>
      </c>
      <c r="F1199" s="323">
        <v>1</v>
      </c>
      <c r="G1199" s="324">
        <f t="shared" si="112"/>
        <v>400000</v>
      </c>
      <c r="H1199" s="252"/>
      <c r="I1199" s="57"/>
      <c r="J1199" s="57"/>
      <c r="K1199" s="57"/>
      <c r="L1199" s="57"/>
      <c r="M1199" s="57"/>
      <c r="N1199" s="58"/>
      <c r="O1199" s="58"/>
      <c r="P1199" s="58"/>
      <c r="Q1199" s="58"/>
      <c r="R1199" s="58"/>
      <c r="S1199" s="58"/>
      <c r="T1199" s="58"/>
      <c r="U1199" s="58"/>
    </row>
    <row r="1200" spans="1:21" s="59" customFormat="1" ht="12" customHeight="1" x14ac:dyDescent="0.25">
      <c r="A1200" s="321"/>
      <c r="B1200" s="326"/>
      <c r="C1200" s="323" t="s">
        <v>659</v>
      </c>
      <c r="D1200" s="323">
        <v>250000</v>
      </c>
      <c r="E1200" s="323">
        <v>8</v>
      </c>
      <c r="F1200" s="323">
        <v>4</v>
      </c>
      <c r="G1200" s="324">
        <f t="shared" si="112"/>
        <v>8000000</v>
      </c>
      <c r="H1200" s="252"/>
      <c r="I1200" s="57"/>
      <c r="J1200" s="57"/>
      <c r="K1200" s="57"/>
      <c r="L1200" s="57"/>
      <c r="M1200" s="57"/>
      <c r="N1200" s="58"/>
      <c r="O1200" s="58"/>
      <c r="P1200" s="58"/>
      <c r="Q1200" s="58"/>
      <c r="R1200" s="58"/>
      <c r="S1200" s="58"/>
      <c r="T1200" s="58"/>
      <c r="U1200" s="58"/>
    </row>
    <row r="1201" spans="1:21" s="59" customFormat="1" ht="12" customHeight="1" x14ac:dyDescent="0.25">
      <c r="A1201" s="321"/>
      <c r="B1201" s="326"/>
      <c r="C1201" s="323" t="s">
        <v>678</v>
      </c>
      <c r="D1201" s="323">
        <f>D1199</f>
        <v>100000</v>
      </c>
      <c r="E1201" s="323">
        <f>E1200</f>
        <v>8</v>
      </c>
      <c r="F1201" s="323">
        <v>1</v>
      </c>
      <c r="G1201" s="324">
        <f t="shared" si="112"/>
        <v>800000</v>
      </c>
      <c r="H1201" s="252"/>
      <c r="I1201" s="57"/>
      <c r="J1201" s="57"/>
      <c r="K1201" s="57"/>
      <c r="L1201" s="57"/>
      <c r="M1201" s="57"/>
      <c r="N1201" s="58"/>
      <c r="O1201" s="58"/>
      <c r="P1201" s="58"/>
      <c r="Q1201" s="58"/>
      <c r="R1201" s="58"/>
      <c r="S1201" s="58"/>
      <c r="T1201" s="58"/>
      <c r="U1201" s="58"/>
    </row>
    <row r="1202" spans="1:21" s="59" customFormat="1" ht="12" customHeight="1" x14ac:dyDescent="0.25">
      <c r="A1202" s="321"/>
      <c r="B1202" s="326"/>
      <c r="C1202" s="323" t="s">
        <v>679</v>
      </c>
      <c r="D1202" s="323">
        <v>250000</v>
      </c>
      <c r="E1202" s="323">
        <v>2</v>
      </c>
      <c r="F1202" s="323">
        <v>4</v>
      </c>
      <c r="G1202" s="324">
        <f t="shared" si="112"/>
        <v>2000000</v>
      </c>
      <c r="H1202" s="252"/>
      <c r="I1202" s="57"/>
      <c r="J1202" s="57"/>
      <c r="K1202" s="57"/>
      <c r="L1202" s="57"/>
      <c r="M1202" s="57"/>
      <c r="N1202" s="58"/>
      <c r="O1202" s="58"/>
      <c r="P1202" s="58"/>
      <c r="Q1202" s="58"/>
      <c r="R1202" s="58"/>
      <c r="S1202" s="58"/>
      <c r="T1202" s="58"/>
      <c r="U1202" s="58"/>
    </row>
    <row r="1203" spans="1:21" s="59" customFormat="1" ht="12" customHeight="1" x14ac:dyDescent="0.25">
      <c r="A1203" s="321"/>
      <c r="B1203" s="327"/>
      <c r="C1203" s="323" t="s">
        <v>680</v>
      </c>
      <c r="D1203" s="323">
        <f>D1199</f>
        <v>100000</v>
      </c>
      <c r="E1203" s="323">
        <f>E1202</f>
        <v>2</v>
      </c>
      <c r="F1203" s="323">
        <v>1</v>
      </c>
      <c r="G1203" s="324">
        <f t="shared" si="112"/>
        <v>200000</v>
      </c>
      <c r="H1203" s="252"/>
      <c r="I1203" s="57"/>
      <c r="J1203" s="57"/>
      <c r="K1203" s="57"/>
      <c r="L1203" s="57"/>
      <c r="M1203" s="57"/>
      <c r="N1203" s="58"/>
      <c r="O1203" s="58"/>
      <c r="P1203" s="58"/>
      <c r="Q1203" s="58"/>
      <c r="R1203" s="58"/>
      <c r="S1203" s="58"/>
      <c r="T1203" s="58"/>
      <c r="U1203" s="58"/>
    </row>
    <row r="1204" spans="1:21" s="59" customFormat="1" ht="12" customHeight="1" x14ac:dyDescent="0.25">
      <c r="A1204" s="321"/>
      <c r="B1204" s="326"/>
      <c r="C1204" s="323" t="s">
        <v>663</v>
      </c>
      <c r="D1204" s="323">
        <v>250000</v>
      </c>
      <c r="E1204" s="323">
        <v>4</v>
      </c>
      <c r="F1204" s="323">
        <v>5</v>
      </c>
      <c r="G1204" s="324">
        <f>D1204*E1204*F1204</f>
        <v>5000000</v>
      </c>
      <c r="H1204" s="252"/>
      <c r="I1204" s="57"/>
      <c r="J1204" s="57"/>
      <c r="K1204" s="57"/>
      <c r="L1204" s="57"/>
      <c r="M1204" s="57"/>
      <c r="N1204" s="58"/>
      <c r="O1204" s="58"/>
      <c r="P1204" s="58"/>
      <c r="Q1204" s="58"/>
      <c r="R1204" s="58"/>
      <c r="S1204" s="58"/>
      <c r="T1204" s="58"/>
      <c r="U1204" s="58"/>
    </row>
    <row r="1205" spans="1:21" s="59" customFormat="1" ht="12" customHeight="1" x14ac:dyDescent="0.25">
      <c r="A1205" s="321"/>
      <c r="B1205" s="326"/>
      <c r="C1205" s="323" t="s">
        <v>681</v>
      </c>
      <c r="D1205" s="323">
        <f>D1201</f>
        <v>100000</v>
      </c>
      <c r="E1205" s="323">
        <f>E1204</f>
        <v>4</v>
      </c>
      <c r="F1205" s="323">
        <v>1</v>
      </c>
      <c r="G1205" s="324">
        <f>D1205*E1205*F1205</f>
        <v>400000</v>
      </c>
      <c r="H1205" s="252"/>
      <c r="I1205" s="57"/>
      <c r="J1205" s="57"/>
      <c r="K1205" s="57"/>
      <c r="L1205" s="57"/>
      <c r="M1205" s="57"/>
      <c r="N1205" s="58"/>
      <c r="O1205" s="58"/>
      <c r="P1205" s="58"/>
      <c r="Q1205" s="58"/>
      <c r="R1205" s="58"/>
      <c r="S1205" s="58"/>
      <c r="T1205" s="58"/>
      <c r="U1205" s="58"/>
    </row>
    <row r="1206" spans="1:21" s="59" customFormat="1" ht="12" customHeight="1" x14ac:dyDescent="0.25">
      <c r="A1206" s="321"/>
      <c r="B1206" s="326"/>
      <c r="C1206" s="323" t="s">
        <v>682</v>
      </c>
      <c r="D1206" s="323">
        <v>250000</v>
      </c>
      <c r="E1206" s="323">
        <v>1</v>
      </c>
      <c r="F1206" s="323">
        <v>5</v>
      </c>
      <c r="G1206" s="324">
        <f>D1206*E1206*F1206</f>
        <v>1250000</v>
      </c>
      <c r="H1206" s="252"/>
      <c r="I1206" s="57"/>
      <c r="J1206" s="57"/>
      <c r="K1206" s="57"/>
      <c r="L1206" s="57"/>
      <c r="M1206" s="57"/>
      <c r="N1206" s="58"/>
      <c r="O1206" s="58"/>
      <c r="P1206" s="58"/>
      <c r="Q1206" s="58"/>
      <c r="R1206" s="58"/>
      <c r="S1206" s="58"/>
      <c r="T1206" s="58"/>
      <c r="U1206" s="58"/>
    </row>
    <row r="1207" spans="1:21" s="59" customFormat="1" ht="12" customHeight="1" x14ac:dyDescent="0.25">
      <c r="A1207" s="321"/>
      <c r="B1207" s="327"/>
      <c r="C1207" s="323" t="s">
        <v>683</v>
      </c>
      <c r="D1207" s="323">
        <f>D1201</f>
        <v>100000</v>
      </c>
      <c r="E1207" s="323">
        <f>E1206</f>
        <v>1</v>
      </c>
      <c r="F1207" s="323">
        <v>1</v>
      </c>
      <c r="G1207" s="324">
        <f>D1207*E1207*F1207</f>
        <v>100000</v>
      </c>
      <c r="H1207" s="252"/>
      <c r="I1207" s="57"/>
      <c r="J1207" s="57"/>
      <c r="K1207" s="57"/>
      <c r="L1207" s="57"/>
      <c r="M1207" s="57"/>
      <c r="N1207" s="58"/>
      <c r="O1207" s="58"/>
      <c r="P1207" s="58"/>
      <c r="Q1207" s="58"/>
      <c r="R1207" s="58"/>
      <c r="S1207" s="58"/>
      <c r="T1207" s="58"/>
      <c r="U1207" s="58"/>
    </row>
    <row r="1208" spans="1:21" s="59" customFormat="1" ht="12" customHeight="1" x14ac:dyDescent="0.25">
      <c r="A1208" s="321"/>
      <c r="B1208" s="327"/>
      <c r="C1208" s="323" t="s">
        <v>667</v>
      </c>
      <c r="D1208" s="299">
        <f>44*7500</f>
        <v>330000</v>
      </c>
      <c r="E1208" s="323">
        <v>1</v>
      </c>
      <c r="F1208" s="323">
        <v>2</v>
      </c>
      <c r="G1208" s="324">
        <f t="shared" ref="G1208:G1215" si="113">D1208*E1208*F1208</f>
        <v>660000</v>
      </c>
      <c r="H1208" s="252"/>
      <c r="I1208" s="57"/>
      <c r="J1208" s="57"/>
      <c r="K1208" s="57"/>
      <c r="L1208" s="57"/>
      <c r="M1208" s="57"/>
      <c r="N1208" s="58"/>
      <c r="O1208" s="58"/>
      <c r="P1208" s="58"/>
      <c r="Q1208" s="58"/>
      <c r="R1208" s="58"/>
      <c r="S1208" s="58"/>
      <c r="T1208" s="58"/>
      <c r="U1208" s="58"/>
    </row>
    <row r="1209" spans="1:21" s="59" customFormat="1" ht="12" customHeight="1" x14ac:dyDescent="0.25">
      <c r="A1209" s="321"/>
      <c r="B1209" s="327"/>
      <c r="C1209" s="323" t="s">
        <v>668</v>
      </c>
      <c r="D1209" s="299">
        <f>59*7500</f>
        <v>442500</v>
      </c>
      <c r="E1209" s="323">
        <v>1</v>
      </c>
      <c r="F1209" s="323">
        <v>2</v>
      </c>
      <c r="G1209" s="324">
        <f t="shared" si="113"/>
        <v>885000</v>
      </c>
      <c r="H1209" s="252"/>
      <c r="I1209" s="57"/>
      <c r="J1209" s="57"/>
      <c r="K1209" s="57"/>
      <c r="L1209" s="57"/>
      <c r="M1209" s="57"/>
      <c r="N1209" s="58"/>
      <c r="O1209" s="58"/>
      <c r="P1209" s="58"/>
      <c r="Q1209" s="58"/>
      <c r="R1209" s="58"/>
      <c r="S1209" s="58"/>
      <c r="T1209" s="58"/>
      <c r="U1209" s="58"/>
    </row>
    <row r="1210" spans="1:21" s="59" customFormat="1" ht="12" customHeight="1" x14ac:dyDescent="0.25">
      <c r="A1210" s="321"/>
      <c r="B1210" s="327"/>
      <c r="C1210" s="323" t="s">
        <v>669</v>
      </c>
      <c r="D1210" s="299">
        <f>84*7500</f>
        <v>630000</v>
      </c>
      <c r="E1210" s="323">
        <v>1</v>
      </c>
      <c r="F1210" s="323">
        <v>2</v>
      </c>
      <c r="G1210" s="324">
        <f t="shared" si="113"/>
        <v>1260000</v>
      </c>
      <c r="H1210" s="252"/>
      <c r="I1210" s="57"/>
      <c r="J1210" s="57"/>
      <c r="K1210" s="57"/>
      <c r="L1210" s="57"/>
      <c r="M1210" s="57"/>
      <c r="N1210" s="58"/>
      <c r="O1210" s="58"/>
      <c r="P1210" s="58"/>
      <c r="Q1210" s="58"/>
      <c r="R1210" s="58"/>
      <c r="S1210" s="58"/>
      <c r="T1210" s="58"/>
      <c r="U1210" s="58"/>
    </row>
    <row r="1211" spans="1:21" s="59" customFormat="1" ht="12" customHeight="1" x14ac:dyDescent="0.25">
      <c r="A1211" s="321"/>
      <c r="B1211" s="327"/>
      <c r="C1211" s="323" t="s">
        <v>670</v>
      </c>
      <c r="D1211" s="299">
        <f>65*7500</f>
        <v>487500</v>
      </c>
      <c r="E1211" s="323">
        <v>1</v>
      </c>
      <c r="F1211" s="323">
        <v>2</v>
      </c>
      <c r="G1211" s="324">
        <f t="shared" si="113"/>
        <v>975000</v>
      </c>
      <c r="H1211" s="252"/>
      <c r="I1211" s="57"/>
      <c r="J1211" s="57"/>
      <c r="K1211" s="57"/>
      <c r="L1211" s="57"/>
      <c r="M1211" s="57"/>
      <c r="N1211" s="58"/>
      <c r="O1211" s="58"/>
      <c r="P1211" s="58"/>
      <c r="Q1211" s="58"/>
      <c r="R1211" s="58"/>
      <c r="S1211" s="58"/>
      <c r="T1211" s="58"/>
      <c r="U1211" s="58"/>
    </row>
    <row r="1212" spans="1:21" s="59" customFormat="1" ht="12" customHeight="1" x14ac:dyDescent="0.25">
      <c r="A1212" s="321"/>
      <c r="B1212" s="327"/>
      <c r="C1212" s="323" t="s">
        <v>671</v>
      </c>
      <c r="D1212" s="299">
        <f>149*7500</f>
        <v>1117500</v>
      </c>
      <c r="E1212" s="323">
        <v>1</v>
      </c>
      <c r="F1212" s="323">
        <v>2</v>
      </c>
      <c r="G1212" s="324">
        <f t="shared" si="113"/>
        <v>2235000</v>
      </c>
      <c r="H1212" s="252"/>
      <c r="I1212" s="57"/>
      <c r="J1212" s="57"/>
      <c r="K1212" s="57"/>
      <c r="L1212" s="57"/>
      <c r="M1212" s="57"/>
      <c r="N1212" s="58"/>
      <c r="O1212" s="58"/>
      <c r="P1212" s="58"/>
      <c r="Q1212" s="58"/>
      <c r="R1212" s="58"/>
      <c r="S1212" s="58"/>
      <c r="T1212" s="58"/>
      <c r="U1212" s="58"/>
    </row>
    <row r="1213" spans="1:21" s="59" customFormat="1" ht="12" customHeight="1" x14ac:dyDescent="0.25">
      <c r="A1213" s="321"/>
      <c r="B1213" s="327"/>
      <c r="C1213" s="323" t="s">
        <v>672</v>
      </c>
      <c r="D1213" s="299">
        <f>117*7500</f>
        <v>877500</v>
      </c>
      <c r="E1213" s="323">
        <v>1</v>
      </c>
      <c r="F1213" s="323">
        <v>2</v>
      </c>
      <c r="G1213" s="324">
        <f t="shared" si="113"/>
        <v>1755000</v>
      </c>
      <c r="H1213" s="252"/>
      <c r="I1213" s="57"/>
      <c r="J1213" s="57"/>
      <c r="K1213" s="57"/>
      <c r="L1213" s="57"/>
      <c r="M1213" s="57"/>
      <c r="N1213" s="58"/>
      <c r="O1213" s="58"/>
      <c r="P1213" s="58"/>
      <c r="Q1213" s="58"/>
      <c r="R1213" s="58"/>
      <c r="S1213" s="58"/>
      <c r="T1213" s="58"/>
      <c r="U1213" s="58"/>
    </row>
    <row r="1214" spans="1:21" s="59" customFormat="1" ht="12" customHeight="1" x14ac:dyDescent="0.25">
      <c r="A1214" s="321"/>
      <c r="B1214" s="327"/>
      <c r="C1214" s="323" t="s">
        <v>673</v>
      </c>
      <c r="D1214" s="299">
        <f>107*7500</f>
        <v>802500</v>
      </c>
      <c r="E1214" s="323">
        <v>1</v>
      </c>
      <c r="F1214" s="323">
        <v>2</v>
      </c>
      <c r="G1214" s="324">
        <f t="shared" si="113"/>
        <v>1605000</v>
      </c>
      <c r="H1214" s="252"/>
      <c r="I1214" s="57"/>
      <c r="J1214" s="57"/>
      <c r="K1214" s="57"/>
      <c r="L1214" s="57"/>
      <c r="M1214" s="57"/>
      <c r="N1214" s="58"/>
      <c r="O1214" s="58"/>
      <c r="P1214" s="58"/>
      <c r="Q1214" s="58"/>
      <c r="R1214" s="58"/>
      <c r="S1214" s="58"/>
      <c r="T1214" s="58"/>
      <c r="U1214" s="58"/>
    </row>
    <row r="1215" spans="1:21" s="59" customFormat="1" ht="21.75" customHeight="1" x14ac:dyDescent="0.25">
      <c r="A1215" s="321"/>
      <c r="B1215" s="327"/>
      <c r="C1215" s="322" t="s">
        <v>602</v>
      </c>
      <c r="D1215" s="323">
        <v>300000</v>
      </c>
      <c r="E1215" s="323">
        <f>SUM(E1191:E1196)+E1200+E1204</f>
        <v>60</v>
      </c>
      <c r="F1215" s="323">
        <v>2</v>
      </c>
      <c r="G1215" s="324">
        <f t="shared" si="113"/>
        <v>36000000</v>
      </c>
      <c r="H1215" s="252"/>
      <c r="I1215" s="57"/>
      <c r="J1215" s="57"/>
      <c r="K1215" s="57"/>
      <c r="L1215" s="57"/>
      <c r="M1215" s="57"/>
      <c r="N1215" s="58"/>
      <c r="O1215" s="58"/>
      <c r="P1215" s="58"/>
      <c r="Q1215" s="58"/>
      <c r="R1215" s="58"/>
      <c r="S1215" s="58"/>
      <c r="T1215" s="58"/>
      <c r="U1215" s="58"/>
    </row>
    <row r="1216" spans="1:21" s="59" customFormat="1" ht="12" customHeight="1" x14ac:dyDescent="0.25">
      <c r="A1216" s="321"/>
      <c r="B1216" s="327"/>
      <c r="C1216" s="323" t="s">
        <v>60</v>
      </c>
      <c r="D1216" s="323">
        <f>G1216/E1216</f>
        <v>40250</v>
      </c>
      <c r="E1216" s="323">
        <f>E1215</f>
        <v>60</v>
      </c>
      <c r="F1216" s="323">
        <v>1</v>
      </c>
      <c r="G1216" s="324">
        <v>2415000</v>
      </c>
      <c r="H1216" s="252"/>
      <c r="I1216" s="57"/>
      <c r="J1216" s="57"/>
      <c r="K1216" s="57"/>
      <c r="L1216" s="57"/>
      <c r="M1216" s="57"/>
      <c r="N1216" s="58"/>
      <c r="O1216" s="58"/>
      <c r="P1216" s="58"/>
      <c r="Q1216" s="58"/>
      <c r="R1216" s="58"/>
      <c r="S1216" s="58"/>
      <c r="T1216" s="58"/>
      <c r="U1216" s="58"/>
    </row>
    <row r="1217" spans="1:21" s="59" customFormat="1" ht="12" customHeight="1" x14ac:dyDescent="0.25">
      <c r="A1217" s="321"/>
      <c r="B1217" s="327"/>
      <c r="C1217" s="323" t="s">
        <v>147</v>
      </c>
      <c r="D1217" s="323">
        <f>G1217/E1217/F1217</f>
        <v>240000</v>
      </c>
      <c r="E1217" s="323">
        <v>5</v>
      </c>
      <c r="F1217" s="323">
        <v>2</v>
      </c>
      <c r="G1217" s="324">
        <v>2400000</v>
      </c>
      <c r="H1217" s="252"/>
      <c r="I1217" s="57"/>
      <c r="J1217" s="57"/>
      <c r="K1217" s="57"/>
      <c r="L1217" s="57"/>
      <c r="M1217" s="57"/>
      <c r="N1217" s="58"/>
      <c r="O1217" s="58"/>
      <c r="P1217" s="58"/>
      <c r="Q1217" s="58"/>
      <c r="R1217" s="58"/>
      <c r="S1217" s="58"/>
      <c r="T1217" s="58"/>
      <c r="U1217" s="58"/>
    </row>
    <row r="1218" spans="1:21" s="59" customFormat="1" ht="12" customHeight="1" thickBot="1" x14ac:dyDescent="0.3">
      <c r="A1218" s="321"/>
      <c r="B1218" s="326"/>
      <c r="C1218" s="323"/>
      <c r="D1218" s="323"/>
      <c r="E1218" s="323"/>
      <c r="F1218" s="323"/>
      <c r="G1218" s="324"/>
      <c r="H1218" s="252"/>
      <c r="I1218" s="57"/>
      <c r="J1218" s="57"/>
      <c r="K1218" s="57"/>
      <c r="L1218" s="57"/>
      <c r="M1218" s="57"/>
      <c r="N1218" s="58"/>
      <c r="O1218" s="58"/>
      <c r="P1218" s="58"/>
      <c r="Q1218" s="58"/>
      <c r="R1218" s="58"/>
      <c r="S1218" s="58"/>
      <c r="T1218" s="58"/>
      <c r="U1218" s="58"/>
    </row>
    <row r="1219" spans="1:21" s="59" customFormat="1" ht="12" customHeight="1" thickBot="1" x14ac:dyDescent="0.3">
      <c r="A1219" s="321"/>
      <c r="B1219" s="326"/>
      <c r="C1219" s="328" t="s">
        <v>140</v>
      </c>
      <c r="D1219" s="328"/>
      <c r="E1219" s="328"/>
      <c r="F1219" s="328"/>
      <c r="G1219" s="329">
        <f>SUM(G1191:G1218)</f>
        <v>85090000</v>
      </c>
      <c r="H1219" s="253">
        <f>G1219/8136</f>
        <v>10458.456243854474</v>
      </c>
      <c r="I1219" s="330"/>
      <c r="J1219" s="57"/>
      <c r="K1219" s="57"/>
      <c r="L1219" s="57"/>
      <c r="M1219" s="57"/>
      <c r="N1219" s="58"/>
      <c r="O1219" s="58"/>
      <c r="P1219" s="58"/>
      <c r="Q1219" s="58"/>
      <c r="R1219" s="58"/>
      <c r="S1219" s="58"/>
      <c r="T1219" s="58"/>
      <c r="U1219" s="58"/>
    </row>
    <row r="1220" spans="1:21" s="59" customFormat="1" ht="12" customHeight="1" x14ac:dyDescent="0.25">
      <c r="A1220" s="321"/>
      <c r="B1220" s="326"/>
      <c r="C1220" s="323"/>
      <c r="D1220" s="323"/>
      <c r="E1220" s="323"/>
      <c r="F1220" s="323"/>
      <c r="G1220" s="324"/>
      <c r="H1220" s="252"/>
      <c r="I1220" s="57"/>
      <c r="J1220" s="57"/>
      <c r="K1220" s="57"/>
      <c r="L1220" s="57"/>
      <c r="M1220" s="57"/>
      <c r="N1220" s="58"/>
      <c r="O1220" s="58"/>
      <c r="P1220" s="58"/>
      <c r="Q1220" s="58"/>
      <c r="R1220" s="58"/>
      <c r="S1220" s="58"/>
      <c r="T1220" s="58"/>
      <c r="U1220" s="58"/>
    </row>
    <row r="1221" spans="1:21" s="59" customFormat="1" ht="12" customHeight="1" thickBot="1" x14ac:dyDescent="0.3">
      <c r="A1221" s="331"/>
      <c r="B1221" s="332"/>
      <c r="C1221" s="332"/>
      <c r="D1221" s="333"/>
      <c r="E1221" s="333"/>
      <c r="F1221" s="334"/>
      <c r="G1221" s="335"/>
      <c r="H1221" s="252"/>
      <c r="I1221" s="57"/>
      <c r="J1221" s="57"/>
      <c r="K1221" s="57"/>
      <c r="L1221" s="57"/>
      <c r="M1221" s="57"/>
      <c r="N1221" s="58"/>
      <c r="O1221" s="58"/>
      <c r="P1221" s="58"/>
      <c r="Q1221" s="58"/>
      <c r="R1221" s="58"/>
      <c r="S1221" s="58"/>
      <c r="T1221" s="58"/>
      <c r="U1221" s="58"/>
    </row>
    <row r="1222" spans="1:21" s="57" customFormat="1" ht="16.5" thickBot="1" x14ac:dyDescent="0.3">
      <c r="A1222" s="336"/>
      <c r="B1222" s="336"/>
      <c r="C1222" s="336"/>
      <c r="D1222" s="336"/>
      <c r="E1222" s="336"/>
      <c r="F1222" s="336"/>
      <c r="G1222" s="336"/>
      <c r="H1222" s="55"/>
    </row>
    <row r="1223" spans="1:21" s="59" customFormat="1" ht="12" customHeight="1" x14ac:dyDescent="0.25">
      <c r="A1223" s="318" t="s">
        <v>684</v>
      </c>
      <c r="B1223" s="760" t="s">
        <v>685</v>
      </c>
      <c r="C1223" s="319" t="s">
        <v>39</v>
      </c>
      <c r="D1223" s="319">
        <v>150000</v>
      </c>
      <c r="E1223" s="319">
        <v>1</v>
      </c>
      <c r="F1223" s="319">
        <v>1</v>
      </c>
      <c r="G1223" s="320">
        <f t="shared" ref="G1223:G1253" si="114">D1223*E1223*F1223</f>
        <v>150000</v>
      </c>
      <c r="H1223" s="252"/>
      <c r="I1223" s="57"/>
      <c r="J1223" s="57"/>
      <c r="K1223" s="57"/>
      <c r="L1223" s="57"/>
      <c r="M1223" s="57"/>
      <c r="N1223" s="58"/>
      <c r="O1223" s="58"/>
      <c r="P1223" s="58"/>
      <c r="Q1223" s="58"/>
      <c r="R1223" s="58"/>
      <c r="S1223" s="58"/>
      <c r="T1223" s="58"/>
      <c r="U1223" s="58"/>
    </row>
    <row r="1224" spans="1:21" s="59" customFormat="1" ht="12" customHeight="1" x14ac:dyDescent="0.25">
      <c r="A1224" s="321"/>
      <c r="B1224" s="761"/>
      <c r="C1224" s="323" t="s">
        <v>445</v>
      </c>
      <c r="D1224" s="323">
        <v>270000</v>
      </c>
      <c r="E1224" s="323">
        <v>1</v>
      </c>
      <c r="F1224" s="323">
        <v>5</v>
      </c>
      <c r="G1224" s="324">
        <f t="shared" si="114"/>
        <v>1350000</v>
      </c>
      <c r="H1224" s="252"/>
      <c r="I1224" s="57"/>
      <c r="J1224" s="57"/>
      <c r="K1224" s="57"/>
      <c r="L1224" s="57"/>
      <c r="M1224" s="57"/>
      <c r="N1224" s="58"/>
      <c r="O1224" s="58"/>
      <c r="P1224" s="58"/>
      <c r="Q1224" s="58"/>
      <c r="R1224" s="58"/>
      <c r="S1224" s="58"/>
      <c r="T1224" s="58"/>
      <c r="U1224" s="58"/>
    </row>
    <row r="1225" spans="1:21" s="59" customFormat="1" ht="12" customHeight="1" x14ac:dyDescent="0.25">
      <c r="A1225" s="321"/>
      <c r="B1225" s="761"/>
      <c r="C1225" s="323" t="s">
        <v>446</v>
      </c>
      <c r="D1225" s="323">
        <v>100000</v>
      </c>
      <c r="E1225" s="323">
        <v>1</v>
      </c>
      <c r="F1225" s="323">
        <v>1</v>
      </c>
      <c r="G1225" s="324">
        <f t="shared" si="114"/>
        <v>100000</v>
      </c>
      <c r="H1225" s="252"/>
      <c r="I1225" s="57"/>
      <c r="J1225" s="57"/>
      <c r="K1225" s="57"/>
      <c r="L1225" s="57"/>
      <c r="M1225" s="57"/>
      <c r="N1225" s="58"/>
      <c r="O1225" s="58"/>
      <c r="P1225" s="58"/>
      <c r="Q1225" s="58"/>
      <c r="R1225" s="58"/>
      <c r="S1225" s="58"/>
      <c r="T1225" s="58"/>
      <c r="U1225" s="58"/>
    </row>
    <row r="1226" spans="1:21" s="59" customFormat="1" ht="30.95" customHeight="1" x14ac:dyDescent="0.25">
      <c r="A1226" s="321"/>
      <c r="B1226" s="761"/>
      <c r="C1226" s="322" t="s">
        <v>686</v>
      </c>
      <c r="D1226" s="323">
        <v>250000</v>
      </c>
      <c r="E1226" s="323">
        <v>4</v>
      </c>
      <c r="F1226" s="323">
        <v>5</v>
      </c>
      <c r="G1226" s="324">
        <f t="shared" si="114"/>
        <v>5000000</v>
      </c>
      <c r="H1226" s="252"/>
      <c r="I1226" s="57"/>
      <c r="J1226" s="57"/>
      <c r="K1226" s="57"/>
      <c r="L1226" s="57"/>
      <c r="M1226" s="57"/>
      <c r="N1226" s="58"/>
      <c r="O1226" s="58"/>
      <c r="P1226" s="58"/>
      <c r="Q1226" s="58"/>
      <c r="R1226" s="58"/>
      <c r="S1226" s="58"/>
      <c r="T1226" s="58"/>
      <c r="U1226" s="58"/>
    </row>
    <row r="1227" spans="1:21" s="59" customFormat="1" ht="31.5" customHeight="1" x14ac:dyDescent="0.25">
      <c r="A1227" s="321"/>
      <c r="B1227" s="326"/>
      <c r="C1227" s="322" t="s">
        <v>687</v>
      </c>
      <c r="D1227" s="323">
        <f>D1225</f>
        <v>100000</v>
      </c>
      <c r="E1227" s="323">
        <v>4</v>
      </c>
      <c r="F1227" s="323">
        <v>1</v>
      </c>
      <c r="G1227" s="324">
        <f t="shared" si="114"/>
        <v>400000</v>
      </c>
      <c r="H1227" s="252"/>
      <c r="I1227" s="57"/>
      <c r="J1227" s="57"/>
      <c r="K1227" s="57"/>
      <c r="L1227" s="57"/>
      <c r="M1227" s="57"/>
      <c r="N1227" s="58"/>
      <c r="O1227" s="58"/>
      <c r="P1227" s="58"/>
      <c r="Q1227" s="58"/>
      <c r="R1227" s="58"/>
      <c r="S1227" s="58"/>
      <c r="T1227" s="58"/>
      <c r="U1227" s="58"/>
    </row>
    <row r="1228" spans="1:21" s="59" customFormat="1" ht="30.75" customHeight="1" x14ac:dyDescent="0.25">
      <c r="A1228" s="321"/>
      <c r="B1228" s="326"/>
      <c r="C1228" s="322" t="s">
        <v>688</v>
      </c>
      <c r="D1228" s="323">
        <v>250000</v>
      </c>
      <c r="E1228" s="323">
        <v>4</v>
      </c>
      <c r="F1228" s="323">
        <v>5</v>
      </c>
      <c r="G1228" s="324">
        <f t="shared" si="114"/>
        <v>5000000</v>
      </c>
      <c r="H1228" s="252"/>
      <c r="I1228" s="57"/>
      <c r="J1228" s="57"/>
      <c r="K1228" s="57"/>
      <c r="L1228" s="57"/>
      <c r="M1228" s="57"/>
      <c r="N1228" s="58"/>
      <c r="O1228" s="58"/>
      <c r="P1228" s="58"/>
      <c r="Q1228" s="58"/>
      <c r="R1228" s="58"/>
      <c r="S1228" s="58"/>
      <c r="T1228" s="58"/>
      <c r="U1228" s="58"/>
    </row>
    <row r="1229" spans="1:21" s="59" customFormat="1" ht="25.5" customHeight="1" x14ac:dyDescent="0.25">
      <c r="A1229" s="321"/>
      <c r="B1229" s="326"/>
      <c r="C1229" s="322" t="s">
        <v>689</v>
      </c>
      <c r="D1229" s="323">
        <f>D1225</f>
        <v>100000</v>
      </c>
      <c r="E1229" s="323">
        <f>E1228</f>
        <v>4</v>
      </c>
      <c r="F1229" s="323">
        <v>1</v>
      </c>
      <c r="G1229" s="324">
        <f t="shared" si="114"/>
        <v>400000</v>
      </c>
      <c r="H1229" s="252"/>
      <c r="I1229" s="57"/>
      <c r="J1229" s="57"/>
      <c r="K1229" s="57"/>
      <c r="L1229" s="57"/>
      <c r="M1229" s="57"/>
      <c r="N1229" s="58"/>
      <c r="O1229" s="58"/>
      <c r="P1229" s="58"/>
      <c r="Q1229" s="58"/>
      <c r="R1229" s="58"/>
      <c r="S1229" s="58"/>
      <c r="T1229" s="58"/>
      <c r="U1229" s="58"/>
    </row>
    <row r="1230" spans="1:21" s="59" customFormat="1" ht="12" customHeight="1" x14ac:dyDescent="0.25">
      <c r="A1230" s="321"/>
      <c r="B1230" s="327"/>
      <c r="C1230" s="323" t="s">
        <v>690</v>
      </c>
      <c r="D1230" s="323">
        <v>250000</v>
      </c>
      <c r="E1230" s="323">
        <v>2</v>
      </c>
      <c r="F1230" s="323">
        <v>5</v>
      </c>
      <c r="G1230" s="324">
        <f t="shared" si="114"/>
        <v>2500000</v>
      </c>
      <c r="H1230" s="252"/>
      <c r="I1230" s="57"/>
      <c r="J1230" s="57"/>
      <c r="K1230" s="57"/>
      <c r="L1230" s="57"/>
      <c r="M1230" s="57"/>
      <c r="N1230" s="58"/>
      <c r="O1230" s="58"/>
      <c r="P1230" s="58"/>
      <c r="Q1230" s="58"/>
      <c r="R1230" s="58"/>
      <c r="S1230" s="58"/>
      <c r="T1230" s="58"/>
      <c r="U1230" s="58"/>
    </row>
    <row r="1231" spans="1:21" s="59" customFormat="1" ht="12" customHeight="1" x14ac:dyDescent="0.25">
      <c r="A1231" s="321"/>
      <c r="B1231" s="327"/>
      <c r="C1231" s="323" t="s">
        <v>691</v>
      </c>
      <c r="D1231" s="323">
        <f>D1225</f>
        <v>100000</v>
      </c>
      <c r="E1231" s="323">
        <f>E1230</f>
        <v>2</v>
      </c>
      <c r="F1231" s="323">
        <v>1</v>
      </c>
      <c r="G1231" s="324">
        <f t="shared" si="114"/>
        <v>200000</v>
      </c>
      <c r="H1231" s="252"/>
      <c r="I1231" s="57"/>
      <c r="J1231" s="57"/>
      <c r="K1231" s="57"/>
      <c r="L1231" s="57"/>
      <c r="M1231" s="57"/>
      <c r="N1231" s="58"/>
      <c r="O1231" s="58"/>
      <c r="P1231" s="58"/>
      <c r="Q1231" s="58"/>
      <c r="R1231" s="58"/>
      <c r="S1231" s="58"/>
      <c r="T1231" s="58"/>
      <c r="U1231" s="58"/>
    </row>
    <row r="1232" spans="1:21" s="59" customFormat="1" ht="12" customHeight="1" x14ac:dyDescent="0.25">
      <c r="A1232" s="321"/>
      <c r="B1232" s="327" t="s">
        <v>692</v>
      </c>
      <c r="C1232" s="323" t="s">
        <v>453</v>
      </c>
      <c r="D1232" s="323">
        <v>250000</v>
      </c>
      <c r="E1232" s="323">
        <f>4*2</f>
        <v>8</v>
      </c>
      <c r="F1232" s="323">
        <v>5</v>
      </c>
      <c r="G1232" s="324">
        <f t="shared" si="114"/>
        <v>10000000</v>
      </c>
      <c r="H1232" s="252"/>
      <c r="I1232" s="57"/>
      <c r="J1232" s="57"/>
      <c r="K1232" s="57"/>
      <c r="L1232" s="57"/>
      <c r="M1232" s="57"/>
      <c r="N1232" s="58"/>
      <c r="O1232" s="58"/>
      <c r="P1232" s="58"/>
      <c r="Q1232" s="58"/>
      <c r="R1232" s="58"/>
      <c r="S1232" s="58"/>
      <c r="T1232" s="58"/>
      <c r="U1232" s="58"/>
    </row>
    <row r="1233" spans="1:21" s="59" customFormat="1" ht="12" customHeight="1" x14ac:dyDescent="0.25">
      <c r="A1233" s="321"/>
      <c r="B1233" s="327" t="s">
        <v>693</v>
      </c>
      <c r="C1233" s="323" t="s">
        <v>454</v>
      </c>
      <c r="D1233" s="323">
        <f>D1225</f>
        <v>100000</v>
      </c>
      <c r="E1233" s="323">
        <f>E1232</f>
        <v>8</v>
      </c>
      <c r="F1233" s="323">
        <v>1</v>
      </c>
      <c r="G1233" s="324">
        <f t="shared" si="114"/>
        <v>800000</v>
      </c>
      <c r="H1233" s="252"/>
      <c r="I1233" s="57"/>
      <c r="J1233" s="57"/>
      <c r="K1233" s="57"/>
      <c r="L1233" s="57"/>
      <c r="M1233" s="57"/>
      <c r="N1233" s="58"/>
      <c r="O1233" s="58"/>
      <c r="P1233" s="58"/>
      <c r="Q1233" s="58"/>
      <c r="R1233" s="58"/>
      <c r="S1233" s="58"/>
      <c r="T1233" s="58"/>
      <c r="U1233" s="58"/>
    </row>
    <row r="1234" spans="1:21" s="59" customFormat="1" ht="12" customHeight="1" x14ac:dyDescent="0.25">
      <c r="A1234" s="321"/>
      <c r="B1234" s="327" t="s">
        <v>694</v>
      </c>
      <c r="C1234" s="323" t="s">
        <v>455</v>
      </c>
      <c r="D1234" s="323">
        <v>250000</v>
      </c>
      <c r="E1234" s="323">
        <f>1*2</f>
        <v>2</v>
      </c>
      <c r="F1234" s="323">
        <v>5</v>
      </c>
      <c r="G1234" s="324">
        <f t="shared" si="114"/>
        <v>2500000</v>
      </c>
      <c r="H1234" s="252"/>
      <c r="I1234" s="57"/>
      <c r="J1234" s="57"/>
      <c r="K1234" s="57"/>
      <c r="L1234" s="57"/>
      <c r="M1234" s="57"/>
      <c r="N1234" s="58"/>
      <c r="O1234" s="58"/>
      <c r="P1234" s="58"/>
      <c r="Q1234" s="58"/>
      <c r="R1234" s="58"/>
      <c r="S1234" s="58"/>
      <c r="T1234" s="58"/>
      <c r="U1234" s="58"/>
    </row>
    <row r="1235" spans="1:21" s="59" customFormat="1" ht="12" customHeight="1" x14ac:dyDescent="0.25">
      <c r="A1235" s="321"/>
      <c r="B1235" s="327" t="s">
        <v>695</v>
      </c>
      <c r="C1235" s="323" t="s">
        <v>456</v>
      </c>
      <c r="D1235" s="323">
        <f>D1233</f>
        <v>100000</v>
      </c>
      <c r="E1235" s="323">
        <f>1*2</f>
        <v>2</v>
      </c>
      <c r="F1235" s="323">
        <v>1</v>
      </c>
      <c r="G1235" s="324">
        <f t="shared" si="114"/>
        <v>200000</v>
      </c>
      <c r="H1235" s="252"/>
      <c r="I1235" s="57"/>
      <c r="J1235" s="57"/>
      <c r="K1235" s="57"/>
      <c r="L1235" s="57"/>
      <c r="M1235" s="57"/>
      <c r="N1235" s="58"/>
      <c r="O1235" s="58"/>
      <c r="P1235" s="58"/>
      <c r="Q1235" s="58"/>
      <c r="R1235" s="58"/>
      <c r="S1235" s="58"/>
      <c r="T1235" s="58"/>
      <c r="U1235" s="58"/>
    </row>
    <row r="1236" spans="1:21" s="59" customFormat="1" ht="12" customHeight="1" x14ac:dyDescent="0.25">
      <c r="A1236" s="321"/>
      <c r="B1236" s="327"/>
      <c r="C1236" s="323" t="s">
        <v>696</v>
      </c>
      <c r="D1236" s="323">
        <v>250000</v>
      </c>
      <c r="E1236" s="323">
        <f>4*4</f>
        <v>16</v>
      </c>
      <c r="F1236" s="323">
        <v>5</v>
      </c>
      <c r="G1236" s="324">
        <f t="shared" si="114"/>
        <v>20000000</v>
      </c>
      <c r="H1236" s="252"/>
      <c r="I1236" s="57"/>
      <c r="J1236" s="57"/>
      <c r="K1236" s="57"/>
      <c r="L1236" s="57"/>
      <c r="M1236" s="57"/>
      <c r="N1236" s="58"/>
      <c r="O1236" s="58"/>
      <c r="P1236" s="58"/>
      <c r="Q1236" s="58"/>
      <c r="R1236" s="58"/>
      <c r="S1236" s="58"/>
      <c r="T1236" s="58"/>
      <c r="U1236" s="58"/>
    </row>
    <row r="1237" spans="1:21" s="59" customFormat="1" ht="12" customHeight="1" x14ac:dyDescent="0.25">
      <c r="A1237" s="321"/>
      <c r="B1237" s="327"/>
      <c r="C1237" s="323" t="s">
        <v>458</v>
      </c>
      <c r="D1237" s="323">
        <f>D1235</f>
        <v>100000</v>
      </c>
      <c r="E1237" s="323">
        <f>E1236</f>
        <v>16</v>
      </c>
      <c r="F1237" s="323">
        <v>1</v>
      </c>
      <c r="G1237" s="324">
        <f t="shared" si="114"/>
        <v>1600000</v>
      </c>
      <c r="H1237" s="252"/>
      <c r="I1237" s="57"/>
      <c r="J1237" s="57"/>
      <c r="K1237" s="57"/>
      <c r="L1237" s="57"/>
      <c r="M1237" s="57"/>
      <c r="N1237" s="58"/>
      <c r="O1237" s="58"/>
      <c r="P1237" s="58"/>
      <c r="Q1237" s="58"/>
      <c r="R1237" s="58"/>
      <c r="S1237" s="58"/>
      <c r="T1237" s="58"/>
      <c r="U1237" s="58"/>
    </row>
    <row r="1238" spans="1:21" s="59" customFormat="1" ht="12" customHeight="1" x14ac:dyDescent="0.25">
      <c r="A1238" s="321"/>
      <c r="B1238" s="327"/>
      <c r="C1238" s="323" t="s">
        <v>697</v>
      </c>
      <c r="D1238" s="323">
        <v>250000</v>
      </c>
      <c r="E1238" s="323">
        <v>4</v>
      </c>
      <c r="F1238" s="323">
        <v>5</v>
      </c>
      <c r="G1238" s="324">
        <f t="shared" si="114"/>
        <v>5000000</v>
      </c>
      <c r="H1238" s="252"/>
      <c r="I1238" s="57"/>
      <c r="J1238" s="57"/>
      <c r="K1238" s="57"/>
      <c r="L1238" s="57"/>
      <c r="M1238" s="57"/>
      <c r="N1238" s="58"/>
      <c r="O1238" s="58"/>
      <c r="P1238" s="58"/>
      <c r="Q1238" s="58"/>
      <c r="R1238" s="58"/>
      <c r="S1238" s="58"/>
      <c r="T1238" s="58"/>
      <c r="U1238" s="58"/>
    </row>
    <row r="1239" spans="1:21" s="59" customFormat="1" ht="12" customHeight="1" x14ac:dyDescent="0.25">
      <c r="A1239" s="321"/>
      <c r="B1239" s="327"/>
      <c r="C1239" s="323" t="s">
        <v>698</v>
      </c>
      <c r="D1239" s="323">
        <f>D1237</f>
        <v>100000</v>
      </c>
      <c r="E1239" s="323">
        <f>E1238</f>
        <v>4</v>
      </c>
      <c r="F1239" s="323">
        <v>1</v>
      </c>
      <c r="G1239" s="324">
        <f t="shared" si="114"/>
        <v>400000</v>
      </c>
      <c r="H1239" s="252"/>
      <c r="I1239" s="57"/>
      <c r="J1239" s="57"/>
      <c r="K1239" s="57"/>
      <c r="L1239" s="57"/>
      <c r="M1239" s="57"/>
      <c r="N1239" s="58"/>
      <c r="O1239" s="58"/>
      <c r="P1239" s="58"/>
      <c r="Q1239" s="58"/>
      <c r="R1239" s="58"/>
      <c r="S1239" s="58"/>
      <c r="T1239" s="58"/>
      <c r="U1239" s="58"/>
    </row>
    <row r="1240" spans="1:21" s="59" customFormat="1" ht="12" customHeight="1" x14ac:dyDescent="0.25">
      <c r="A1240" s="321"/>
      <c r="B1240" s="327"/>
      <c r="C1240" s="323" t="s">
        <v>699</v>
      </c>
      <c r="D1240" s="323">
        <v>250000</v>
      </c>
      <c r="E1240" s="323">
        <v>4</v>
      </c>
      <c r="F1240" s="323">
        <v>6</v>
      </c>
      <c r="G1240" s="324">
        <f t="shared" si="114"/>
        <v>6000000</v>
      </c>
      <c r="H1240" s="252"/>
      <c r="I1240" s="57"/>
      <c r="J1240" s="57"/>
      <c r="K1240" s="57"/>
      <c r="L1240" s="57"/>
      <c r="M1240" s="57"/>
      <c r="N1240" s="58"/>
      <c r="O1240" s="58"/>
      <c r="P1240" s="58"/>
      <c r="Q1240" s="58"/>
      <c r="R1240" s="58"/>
      <c r="S1240" s="58"/>
      <c r="T1240" s="58"/>
      <c r="U1240" s="58"/>
    </row>
    <row r="1241" spans="1:21" s="59" customFormat="1" ht="12" customHeight="1" x14ac:dyDescent="0.25">
      <c r="A1241" s="321"/>
      <c r="B1241" s="327"/>
      <c r="C1241" s="323" t="s">
        <v>462</v>
      </c>
      <c r="D1241" s="323">
        <f>D1239</f>
        <v>100000</v>
      </c>
      <c r="E1241" s="323">
        <f>E1240</f>
        <v>4</v>
      </c>
      <c r="F1241" s="323">
        <v>1</v>
      </c>
      <c r="G1241" s="324">
        <f t="shared" si="114"/>
        <v>400000</v>
      </c>
      <c r="H1241" s="252"/>
      <c r="I1241" s="57"/>
      <c r="J1241" s="57"/>
      <c r="K1241" s="57"/>
      <c r="L1241" s="57"/>
      <c r="M1241" s="57"/>
      <c r="N1241" s="58"/>
      <c r="O1241" s="58"/>
      <c r="P1241" s="58"/>
      <c r="Q1241" s="58"/>
      <c r="R1241" s="58"/>
      <c r="S1241" s="58"/>
      <c r="T1241" s="58"/>
      <c r="U1241" s="58"/>
    </row>
    <row r="1242" spans="1:21" s="59" customFormat="1" ht="12" customHeight="1" x14ac:dyDescent="0.25">
      <c r="A1242" s="321"/>
      <c r="B1242" s="327"/>
      <c r="C1242" s="323" t="s">
        <v>463</v>
      </c>
      <c r="D1242" s="323">
        <v>250000</v>
      </c>
      <c r="E1242" s="323">
        <v>1</v>
      </c>
      <c r="F1242" s="323">
        <v>6</v>
      </c>
      <c r="G1242" s="324">
        <f t="shared" si="114"/>
        <v>1500000</v>
      </c>
      <c r="H1242" s="252"/>
      <c r="I1242" s="57"/>
      <c r="J1242" s="57"/>
      <c r="K1242" s="57"/>
      <c r="L1242" s="57"/>
      <c r="M1242" s="57"/>
      <c r="N1242" s="58"/>
      <c r="O1242" s="58"/>
      <c r="P1242" s="58"/>
      <c r="Q1242" s="58"/>
      <c r="R1242" s="58"/>
      <c r="S1242" s="58"/>
      <c r="T1242" s="58"/>
      <c r="U1242" s="58"/>
    </row>
    <row r="1243" spans="1:21" s="59" customFormat="1" ht="12" customHeight="1" x14ac:dyDescent="0.25">
      <c r="A1243" s="321"/>
      <c r="B1243" s="327"/>
      <c r="C1243" s="323" t="s">
        <v>700</v>
      </c>
      <c r="D1243" s="323">
        <f>D1241</f>
        <v>100000</v>
      </c>
      <c r="E1243" s="323">
        <f>E1242</f>
        <v>1</v>
      </c>
      <c r="F1243" s="323">
        <v>1</v>
      </c>
      <c r="G1243" s="324">
        <f t="shared" si="114"/>
        <v>100000</v>
      </c>
      <c r="H1243" s="252"/>
      <c r="I1243" s="57"/>
      <c r="J1243" s="57"/>
      <c r="K1243" s="57"/>
      <c r="L1243" s="57"/>
      <c r="M1243" s="57"/>
      <c r="N1243" s="58"/>
      <c r="O1243" s="58"/>
      <c r="P1243" s="58"/>
      <c r="Q1243" s="58"/>
      <c r="R1243" s="58"/>
      <c r="S1243" s="58"/>
      <c r="T1243" s="58"/>
      <c r="U1243" s="58"/>
    </row>
    <row r="1244" spans="1:21" s="59" customFormat="1" ht="12" customHeight="1" x14ac:dyDescent="0.25">
      <c r="A1244" s="321"/>
      <c r="B1244" s="327"/>
      <c r="C1244" s="323" t="s">
        <v>467</v>
      </c>
      <c r="D1244" s="323">
        <v>7500</v>
      </c>
      <c r="E1244" s="323">
        <f>248/8</f>
        <v>31</v>
      </c>
      <c r="F1244" s="323">
        <v>2</v>
      </c>
      <c r="G1244" s="324">
        <f t="shared" si="114"/>
        <v>465000</v>
      </c>
      <c r="H1244" s="55"/>
      <c r="I1244" s="58"/>
      <c r="J1244" s="58"/>
      <c r="K1244" s="58"/>
      <c r="L1244" s="58"/>
      <c r="M1244" s="58"/>
      <c r="N1244" s="58"/>
      <c r="O1244" s="58"/>
      <c r="P1244" s="58"/>
    </row>
    <row r="1245" spans="1:21" s="59" customFormat="1" ht="12" customHeight="1" x14ac:dyDescent="0.25">
      <c r="A1245" s="321"/>
      <c r="B1245" s="327"/>
      <c r="C1245" s="323" t="s">
        <v>468</v>
      </c>
      <c r="D1245" s="323">
        <v>7500</v>
      </c>
      <c r="E1245" s="323">
        <f>144/8</f>
        <v>18</v>
      </c>
      <c r="F1245" s="323">
        <v>2</v>
      </c>
      <c r="G1245" s="324">
        <f t="shared" si="114"/>
        <v>270000</v>
      </c>
      <c r="H1245" s="55"/>
      <c r="I1245" s="58"/>
      <c r="J1245" s="58"/>
      <c r="K1245" s="58"/>
      <c r="L1245" s="58"/>
      <c r="M1245" s="58"/>
      <c r="N1245" s="58"/>
      <c r="O1245" s="58"/>
      <c r="P1245" s="58"/>
    </row>
    <row r="1246" spans="1:21" s="59" customFormat="1" ht="12" customHeight="1" x14ac:dyDescent="0.25">
      <c r="A1246" s="321"/>
      <c r="B1246" s="327"/>
      <c r="C1246" s="323" t="s">
        <v>469</v>
      </c>
      <c r="D1246" s="323">
        <v>7500</v>
      </c>
      <c r="E1246" s="323">
        <v>18</v>
      </c>
      <c r="F1246" s="323">
        <v>2</v>
      </c>
      <c r="G1246" s="324">
        <f t="shared" si="114"/>
        <v>270000</v>
      </c>
      <c r="H1246" s="55"/>
      <c r="I1246" s="58"/>
      <c r="J1246" s="58"/>
      <c r="K1246" s="58"/>
      <c r="L1246" s="58"/>
      <c r="M1246" s="58"/>
      <c r="N1246" s="58"/>
      <c r="O1246" s="58"/>
      <c r="P1246" s="58"/>
    </row>
    <row r="1247" spans="1:21" s="59" customFormat="1" ht="12" customHeight="1" x14ac:dyDescent="0.25">
      <c r="A1247" s="321"/>
      <c r="B1247" s="327"/>
      <c r="C1247" s="323" t="s">
        <v>470</v>
      </c>
      <c r="D1247" s="323">
        <v>7500</v>
      </c>
      <c r="E1247" s="323">
        <v>21</v>
      </c>
      <c r="F1247" s="323">
        <v>2</v>
      </c>
      <c r="G1247" s="324">
        <f t="shared" si="114"/>
        <v>315000</v>
      </c>
      <c r="H1247" s="55"/>
      <c r="I1247" s="58"/>
      <c r="J1247" s="58"/>
      <c r="K1247" s="58"/>
      <c r="L1247" s="58"/>
      <c r="M1247" s="58"/>
      <c r="N1247" s="58"/>
      <c r="O1247" s="58"/>
      <c r="P1247" s="58"/>
    </row>
    <row r="1248" spans="1:21" s="59" customFormat="1" ht="12" customHeight="1" x14ac:dyDescent="0.25">
      <c r="A1248" s="321"/>
      <c r="B1248" s="327"/>
      <c r="C1248" s="323" t="s">
        <v>471</v>
      </c>
      <c r="D1248" s="323">
        <v>7500</v>
      </c>
      <c r="E1248" s="323">
        <v>66</v>
      </c>
      <c r="F1248" s="323">
        <v>2</v>
      </c>
      <c r="G1248" s="324">
        <f t="shared" si="114"/>
        <v>990000</v>
      </c>
      <c r="H1248" s="55"/>
      <c r="I1248" s="58"/>
      <c r="J1248" s="58"/>
      <c r="K1248" s="58"/>
      <c r="L1248" s="58"/>
      <c r="M1248" s="58"/>
      <c r="N1248" s="58"/>
      <c r="O1248" s="58"/>
      <c r="P1248" s="58"/>
    </row>
    <row r="1249" spans="1:21" s="59" customFormat="1" ht="12" customHeight="1" x14ac:dyDescent="0.25">
      <c r="A1249" s="321"/>
      <c r="B1249" s="327"/>
      <c r="C1249" s="323" t="s">
        <v>701</v>
      </c>
      <c r="D1249" s="323">
        <v>7500</v>
      </c>
      <c r="E1249" s="323">
        <v>104</v>
      </c>
      <c r="F1249" s="323">
        <v>2</v>
      </c>
      <c r="G1249" s="324">
        <f t="shared" si="114"/>
        <v>1560000</v>
      </c>
      <c r="H1249" s="55"/>
      <c r="I1249" s="58"/>
      <c r="J1249" s="58"/>
      <c r="K1249" s="58"/>
      <c r="L1249" s="58"/>
      <c r="M1249" s="58"/>
      <c r="N1249" s="58"/>
      <c r="O1249" s="58"/>
      <c r="P1249" s="58"/>
    </row>
    <row r="1250" spans="1:21" s="59" customFormat="1" ht="12" customHeight="1" x14ac:dyDescent="0.25">
      <c r="A1250" s="321"/>
      <c r="B1250" s="327"/>
      <c r="C1250" s="323" t="s">
        <v>702</v>
      </c>
      <c r="D1250" s="323">
        <v>7500</v>
      </c>
      <c r="E1250" s="323">
        <v>43</v>
      </c>
      <c r="F1250" s="323">
        <v>2</v>
      </c>
      <c r="G1250" s="324">
        <f>D1250*E1250*F1250</f>
        <v>645000</v>
      </c>
      <c r="H1250" s="252"/>
      <c r="I1250" s="57"/>
      <c r="J1250" s="57"/>
      <c r="K1250" s="57"/>
      <c r="L1250" s="57"/>
      <c r="M1250" s="57"/>
      <c r="N1250" s="58"/>
      <c r="O1250" s="58"/>
      <c r="P1250" s="58"/>
      <c r="Q1250" s="58"/>
      <c r="R1250" s="58"/>
      <c r="S1250" s="58"/>
      <c r="T1250" s="58"/>
      <c r="U1250" s="58"/>
    </row>
    <row r="1251" spans="1:21" s="59" customFormat="1" ht="21.75" customHeight="1" x14ac:dyDescent="0.25">
      <c r="A1251" s="321"/>
      <c r="B1251" s="327"/>
      <c r="C1251" s="337" t="s">
        <v>473</v>
      </c>
      <c r="D1251" s="323">
        <v>35000</v>
      </c>
      <c r="E1251" s="323">
        <v>5</v>
      </c>
      <c r="F1251" s="323">
        <v>4</v>
      </c>
      <c r="G1251" s="324">
        <f t="shared" si="114"/>
        <v>700000</v>
      </c>
      <c r="H1251" s="252"/>
      <c r="I1251" s="57"/>
      <c r="J1251" s="57"/>
      <c r="K1251" s="57"/>
      <c r="L1251" s="57"/>
      <c r="M1251" s="57"/>
      <c r="N1251" s="58"/>
      <c r="O1251" s="58"/>
      <c r="P1251" s="58"/>
      <c r="Q1251" s="58"/>
      <c r="R1251" s="58"/>
      <c r="S1251" s="58"/>
      <c r="T1251" s="58"/>
      <c r="U1251" s="58"/>
    </row>
    <row r="1252" spans="1:21" s="59" customFormat="1" ht="12" customHeight="1" x14ac:dyDescent="0.25">
      <c r="A1252" s="321"/>
      <c r="B1252" s="327"/>
      <c r="C1252" s="323" t="s">
        <v>703</v>
      </c>
      <c r="D1252" s="323">
        <f>7500*85</f>
        <v>637500</v>
      </c>
      <c r="E1252" s="323">
        <v>2</v>
      </c>
      <c r="F1252" s="323">
        <v>2</v>
      </c>
      <c r="G1252" s="324">
        <f t="shared" si="114"/>
        <v>2550000</v>
      </c>
      <c r="H1252" s="252"/>
      <c r="I1252" s="57"/>
      <c r="J1252" s="57"/>
      <c r="K1252" s="57"/>
      <c r="L1252" s="57"/>
      <c r="M1252" s="57"/>
      <c r="N1252" s="58"/>
      <c r="O1252" s="58"/>
      <c r="P1252" s="58"/>
      <c r="Q1252" s="58"/>
      <c r="R1252" s="58"/>
      <c r="S1252" s="58"/>
      <c r="T1252" s="58"/>
      <c r="U1252" s="58"/>
    </row>
    <row r="1253" spans="1:21" s="59" customFormat="1" ht="12" customHeight="1" x14ac:dyDescent="0.25">
      <c r="A1253" s="321"/>
      <c r="B1253" s="327"/>
      <c r="C1253" s="323" t="s">
        <v>704</v>
      </c>
      <c r="D1253" s="323">
        <f>7500*10</f>
        <v>75000</v>
      </c>
      <c r="E1253" s="323">
        <v>2</v>
      </c>
      <c r="F1253" s="323">
        <v>2</v>
      </c>
      <c r="G1253" s="324">
        <f t="shared" si="114"/>
        <v>300000</v>
      </c>
      <c r="H1253" s="252"/>
      <c r="I1253" s="57"/>
      <c r="J1253" s="57"/>
      <c r="K1253" s="57"/>
      <c r="L1253" s="57"/>
      <c r="M1253" s="57"/>
      <c r="N1253" s="58"/>
      <c r="O1253" s="58"/>
      <c r="P1253" s="58"/>
      <c r="Q1253" s="58"/>
      <c r="R1253" s="58"/>
      <c r="S1253" s="58"/>
      <c r="T1253" s="58"/>
      <c r="U1253" s="58"/>
    </row>
    <row r="1254" spans="1:21" s="59" customFormat="1" ht="11.25" customHeight="1" x14ac:dyDescent="0.25">
      <c r="A1254" s="321"/>
      <c r="B1254" s="327"/>
      <c r="C1254" s="322" t="s">
        <v>231</v>
      </c>
      <c r="D1254" s="323">
        <v>1000000</v>
      </c>
      <c r="E1254" s="323">
        <v>1</v>
      </c>
      <c r="F1254" s="323">
        <v>4</v>
      </c>
      <c r="G1254" s="324">
        <f>D1254*E1254*F1254</f>
        <v>4000000</v>
      </c>
      <c r="H1254" s="252"/>
      <c r="I1254" s="57"/>
      <c r="J1254" s="57"/>
      <c r="K1254" s="57"/>
      <c r="L1254" s="57"/>
      <c r="M1254" s="57"/>
      <c r="N1254" s="58"/>
      <c r="O1254" s="58"/>
      <c r="P1254" s="58"/>
      <c r="Q1254" s="58"/>
      <c r="R1254" s="58"/>
      <c r="S1254" s="58"/>
      <c r="T1254" s="58"/>
      <c r="U1254" s="58"/>
    </row>
    <row r="1255" spans="1:21" s="59" customFormat="1" ht="11.25" customHeight="1" x14ac:dyDescent="0.25">
      <c r="A1255" s="321"/>
      <c r="B1255" s="327"/>
      <c r="C1255" s="322" t="s">
        <v>97</v>
      </c>
      <c r="D1255" s="323">
        <v>40000</v>
      </c>
      <c r="E1255" s="323">
        <f>E1223+E1224+E1226+E1228+E1232+E1236+E1240+E1251</f>
        <v>43</v>
      </c>
      <c r="F1255" s="323">
        <v>4</v>
      </c>
      <c r="G1255" s="324">
        <f>D1255*E1255*F1255</f>
        <v>6880000</v>
      </c>
      <c r="H1255" s="252"/>
      <c r="I1255" s="57"/>
      <c r="J1255" s="57"/>
      <c r="K1255" s="57"/>
      <c r="L1255" s="57"/>
      <c r="M1255" s="57"/>
      <c r="N1255" s="58"/>
      <c r="O1255" s="58"/>
      <c r="P1255" s="58"/>
      <c r="Q1255" s="58"/>
      <c r="R1255" s="58"/>
      <c r="S1255" s="58"/>
      <c r="T1255" s="58"/>
      <c r="U1255" s="58"/>
    </row>
    <row r="1256" spans="1:21" s="59" customFormat="1" ht="12" customHeight="1" x14ac:dyDescent="0.25">
      <c r="A1256" s="321"/>
      <c r="B1256" s="327"/>
      <c r="C1256" s="323" t="s">
        <v>60</v>
      </c>
      <c r="D1256" s="323">
        <f>G1256/E1256/F1256</f>
        <v>13482.558139534884</v>
      </c>
      <c r="E1256" s="323">
        <f>E1255</f>
        <v>43</v>
      </c>
      <c r="F1256" s="323">
        <v>4</v>
      </c>
      <c r="G1256" s="324">
        <v>2319000</v>
      </c>
      <c r="H1256" s="252"/>
      <c r="I1256" s="57"/>
      <c r="J1256" s="57"/>
      <c r="K1256" s="57"/>
      <c r="L1256" s="57"/>
      <c r="M1256" s="57"/>
      <c r="N1256" s="58"/>
      <c r="O1256" s="58"/>
      <c r="P1256" s="58"/>
      <c r="Q1256" s="58"/>
      <c r="R1256" s="58"/>
      <c r="S1256" s="58"/>
      <c r="T1256" s="58"/>
      <c r="U1256" s="58"/>
    </row>
    <row r="1257" spans="1:21" s="59" customFormat="1" ht="12" customHeight="1" x14ac:dyDescent="0.25">
      <c r="A1257" s="321"/>
      <c r="B1257" s="327"/>
      <c r="C1257" s="323" t="s">
        <v>147</v>
      </c>
      <c r="D1257" s="323">
        <f>G1257/E1257/F1257</f>
        <v>111428.57142857143</v>
      </c>
      <c r="E1257" s="323">
        <v>7</v>
      </c>
      <c r="F1257" s="323">
        <v>4</v>
      </c>
      <c r="G1257" s="324">
        <v>3120000</v>
      </c>
      <c r="H1257" s="252"/>
      <c r="I1257" s="57"/>
      <c r="J1257" s="57"/>
      <c r="K1257" s="57"/>
      <c r="L1257" s="57"/>
      <c r="M1257" s="57"/>
      <c r="N1257" s="58"/>
      <c r="O1257" s="58"/>
      <c r="P1257" s="58"/>
      <c r="Q1257" s="58"/>
      <c r="R1257" s="58"/>
      <c r="S1257" s="58"/>
      <c r="T1257" s="58"/>
      <c r="U1257" s="58"/>
    </row>
    <row r="1258" spans="1:21" s="59" customFormat="1" ht="12" customHeight="1" thickBot="1" x14ac:dyDescent="0.3">
      <c r="A1258" s="321"/>
      <c r="B1258" s="326"/>
      <c r="C1258" s="323"/>
      <c r="D1258" s="323"/>
      <c r="E1258" s="323"/>
      <c r="F1258" s="323"/>
      <c r="G1258" s="324"/>
      <c r="H1258" s="252"/>
      <c r="I1258" s="57"/>
      <c r="J1258" s="57"/>
      <c r="K1258" s="57"/>
      <c r="L1258" s="57"/>
      <c r="M1258" s="57"/>
      <c r="N1258" s="58"/>
      <c r="O1258" s="58"/>
      <c r="P1258" s="58"/>
      <c r="Q1258" s="58"/>
      <c r="R1258" s="58"/>
      <c r="S1258" s="58"/>
      <c r="T1258" s="58"/>
      <c r="U1258" s="58"/>
    </row>
    <row r="1259" spans="1:21" s="59" customFormat="1" ht="12" customHeight="1" thickBot="1" x14ac:dyDescent="0.3">
      <c r="A1259" s="321"/>
      <c r="B1259" s="326"/>
      <c r="C1259" s="328" t="s">
        <v>140</v>
      </c>
      <c r="D1259" s="328"/>
      <c r="E1259" s="328"/>
      <c r="F1259" s="328"/>
      <c r="G1259" s="329">
        <f>SUM(G1223:G1258)</f>
        <v>87984000</v>
      </c>
      <c r="H1259" s="253">
        <f>G1259/8136</f>
        <v>10814.159292035398</v>
      </c>
      <c r="I1259" s="57"/>
      <c r="J1259" s="57"/>
      <c r="K1259" s="57"/>
      <c r="L1259" s="57"/>
      <c r="M1259" s="57"/>
      <c r="N1259" s="58"/>
      <c r="O1259" s="58"/>
      <c r="P1259" s="58"/>
      <c r="Q1259" s="58"/>
      <c r="R1259" s="58"/>
      <c r="S1259" s="58"/>
      <c r="T1259" s="58"/>
      <c r="U1259" s="58"/>
    </row>
    <row r="1260" spans="1:21" s="59" customFormat="1" ht="12" customHeight="1" x14ac:dyDescent="0.25">
      <c r="A1260" s="321"/>
      <c r="B1260" s="326"/>
      <c r="C1260" s="323"/>
      <c r="D1260" s="323"/>
      <c r="E1260" s="323"/>
      <c r="F1260" s="323"/>
      <c r="G1260" s="324"/>
      <c r="H1260" s="252"/>
      <c r="I1260" s="57"/>
      <c r="J1260" s="57"/>
      <c r="K1260" s="57"/>
      <c r="L1260" s="57"/>
      <c r="M1260" s="57"/>
      <c r="N1260" s="58"/>
      <c r="O1260" s="58"/>
      <c r="P1260" s="58"/>
      <c r="Q1260" s="58"/>
      <c r="R1260" s="58"/>
      <c r="S1260" s="58"/>
      <c r="T1260" s="58"/>
      <c r="U1260" s="58"/>
    </row>
    <row r="1261" spans="1:21" s="59" customFormat="1" ht="12" customHeight="1" thickBot="1" x14ac:dyDescent="0.3">
      <c r="A1261" s="331"/>
      <c r="B1261" s="332"/>
      <c r="C1261" s="332"/>
      <c r="D1261" s="333"/>
      <c r="E1261" s="333"/>
      <c r="F1261" s="334"/>
      <c r="G1261" s="335"/>
      <c r="H1261" s="252"/>
      <c r="I1261" s="57"/>
      <c r="J1261" s="57"/>
      <c r="K1261" s="57"/>
      <c r="L1261" s="57"/>
      <c r="M1261" s="57"/>
      <c r="N1261" s="58"/>
      <c r="O1261" s="58"/>
      <c r="P1261" s="58"/>
      <c r="Q1261" s="58"/>
      <c r="R1261" s="58"/>
      <c r="S1261" s="58"/>
      <c r="T1261" s="58"/>
      <c r="U1261" s="58"/>
    </row>
    <row r="1262" spans="1:21" s="57" customFormat="1" ht="16.5" thickBot="1" x14ac:dyDescent="0.3">
      <c r="A1262" s="336"/>
      <c r="B1262" s="336"/>
      <c r="C1262" s="336"/>
      <c r="D1262" s="336"/>
      <c r="E1262" s="336"/>
      <c r="F1262" s="336"/>
      <c r="G1262" s="336"/>
      <c r="H1262" s="252"/>
    </row>
    <row r="1263" spans="1:21" s="59" customFormat="1" ht="12" customHeight="1" x14ac:dyDescent="0.25">
      <c r="A1263" s="318" t="s">
        <v>705</v>
      </c>
      <c r="B1263" s="760" t="s">
        <v>706</v>
      </c>
      <c r="C1263" s="319" t="s">
        <v>39</v>
      </c>
      <c r="D1263" s="319">
        <v>150000</v>
      </c>
      <c r="E1263" s="319">
        <v>1</v>
      </c>
      <c r="F1263" s="319">
        <v>1</v>
      </c>
      <c r="G1263" s="320">
        <f>D1263*E1263*F1263</f>
        <v>150000</v>
      </c>
      <c r="H1263" s="252"/>
      <c r="I1263" s="57"/>
      <c r="J1263" s="57"/>
      <c r="K1263" s="57"/>
      <c r="L1263" s="57"/>
      <c r="M1263" s="57"/>
      <c r="N1263" s="58"/>
      <c r="O1263" s="58"/>
      <c r="P1263" s="58"/>
      <c r="Q1263" s="58"/>
      <c r="R1263" s="58"/>
      <c r="S1263" s="58"/>
      <c r="T1263" s="58"/>
      <c r="U1263" s="58"/>
    </row>
    <row r="1264" spans="1:21" s="59" customFormat="1" ht="12" customHeight="1" x14ac:dyDescent="0.25">
      <c r="A1264" s="321"/>
      <c r="B1264" s="761"/>
      <c r="C1264" s="323" t="s">
        <v>445</v>
      </c>
      <c r="D1264" s="323">
        <v>270000</v>
      </c>
      <c r="E1264" s="323">
        <v>1</v>
      </c>
      <c r="F1264" s="323">
        <v>5</v>
      </c>
      <c r="G1264" s="324">
        <f>D1264*E1264*F1264</f>
        <v>1350000</v>
      </c>
      <c r="H1264" s="252"/>
      <c r="I1264" s="57"/>
      <c r="J1264" s="57"/>
      <c r="K1264" s="57"/>
      <c r="L1264" s="57"/>
      <c r="M1264" s="57"/>
      <c r="N1264" s="58"/>
      <c r="O1264" s="58"/>
      <c r="P1264" s="58"/>
      <c r="Q1264" s="58"/>
      <c r="R1264" s="58"/>
      <c r="S1264" s="58"/>
      <c r="T1264" s="58"/>
      <c r="U1264" s="58"/>
    </row>
    <row r="1265" spans="1:21" s="59" customFormat="1" ht="12" customHeight="1" x14ac:dyDescent="0.25">
      <c r="A1265" s="321"/>
      <c r="B1265" s="761"/>
      <c r="C1265" s="323" t="s">
        <v>446</v>
      </c>
      <c r="D1265" s="323">
        <v>100000</v>
      </c>
      <c r="E1265" s="323">
        <v>1</v>
      </c>
      <c r="F1265" s="323">
        <v>1</v>
      </c>
      <c r="G1265" s="324">
        <f>D1265*E1265*F1265</f>
        <v>100000</v>
      </c>
      <c r="H1265" s="252"/>
      <c r="I1265" s="57"/>
      <c r="J1265" s="57"/>
      <c r="K1265" s="57"/>
      <c r="L1265" s="57"/>
      <c r="M1265" s="57"/>
      <c r="N1265" s="58"/>
      <c r="O1265" s="58"/>
      <c r="P1265" s="58"/>
      <c r="Q1265" s="58"/>
      <c r="R1265" s="58"/>
      <c r="S1265" s="58"/>
      <c r="T1265" s="58"/>
      <c r="U1265" s="58"/>
    </row>
    <row r="1266" spans="1:21" s="59" customFormat="1" ht="58.5" customHeight="1" x14ac:dyDescent="0.25">
      <c r="A1266" s="321"/>
      <c r="B1266" s="761"/>
      <c r="C1266" s="322" t="s">
        <v>686</v>
      </c>
      <c r="D1266" s="323">
        <v>250000</v>
      </c>
      <c r="E1266" s="323">
        <v>4</v>
      </c>
      <c r="F1266" s="323">
        <v>5</v>
      </c>
      <c r="G1266" s="324">
        <f>D1266*E1266*F1266</f>
        <v>5000000</v>
      </c>
      <c r="H1266" s="252"/>
      <c r="I1266" s="57"/>
      <c r="J1266" s="57"/>
      <c r="K1266" s="57"/>
      <c r="L1266" s="57"/>
      <c r="M1266" s="57"/>
      <c r="N1266" s="58"/>
      <c r="O1266" s="58"/>
      <c r="P1266" s="58"/>
      <c r="Q1266" s="58"/>
      <c r="R1266" s="58"/>
      <c r="S1266" s="58"/>
      <c r="T1266" s="58"/>
      <c r="U1266" s="58"/>
    </row>
    <row r="1267" spans="1:21" s="59" customFormat="1" ht="47.25" x14ac:dyDescent="0.25">
      <c r="A1267" s="321"/>
      <c r="B1267" s="326"/>
      <c r="C1267" s="322" t="s">
        <v>687</v>
      </c>
      <c r="D1267" s="323">
        <f>D1265</f>
        <v>100000</v>
      </c>
      <c r="E1267" s="323">
        <v>4</v>
      </c>
      <c r="F1267" s="323">
        <v>1</v>
      </c>
      <c r="G1267" s="324">
        <f>D1267*E1267*F1267</f>
        <v>400000</v>
      </c>
      <c r="H1267" s="252"/>
      <c r="I1267" s="57"/>
      <c r="J1267" s="57"/>
      <c r="K1267" s="57"/>
      <c r="L1267" s="57"/>
      <c r="M1267" s="57"/>
      <c r="N1267" s="58"/>
      <c r="O1267" s="58"/>
      <c r="P1267" s="58"/>
      <c r="Q1267" s="58"/>
      <c r="R1267" s="58"/>
      <c r="S1267" s="58"/>
      <c r="T1267" s="58"/>
      <c r="U1267" s="58"/>
    </row>
    <row r="1268" spans="1:21" s="59" customFormat="1" ht="29.25" customHeight="1" x14ac:dyDescent="0.25">
      <c r="A1268" s="321"/>
      <c r="B1268" s="326"/>
      <c r="C1268" s="322" t="s">
        <v>688</v>
      </c>
      <c r="D1268" s="323">
        <v>250000</v>
      </c>
      <c r="E1268" s="323">
        <v>4</v>
      </c>
      <c r="F1268" s="323">
        <v>5</v>
      </c>
      <c r="G1268" s="324">
        <f t="shared" ref="G1268:G1289" si="115">D1268*E1268*F1268</f>
        <v>5000000</v>
      </c>
      <c r="H1268" s="252"/>
      <c r="I1268" s="57"/>
      <c r="J1268" s="57"/>
      <c r="K1268" s="57"/>
      <c r="L1268" s="57"/>
      <c r="M1268" s="57"/>
      <c r="N1268" s="58"/>
      <c r="O1268" s="58"/>
      <c r="P1268" s="58"/>
      <c r="Q1268" s="58"/>
      <c r="R1268" s="58"/>
      <c r="S1268" s="58"/>
      <c r="T1268" s="58"/>
      <c r="U1268" s="58"/>
    </row>
    <row r="1269" spans="1:21" s="59" customFormat="1" ht="33" customHeight="1" x14ac:dyDescent="0.25">
      <c r="A1269" s="321"/>
      <c r="B1269" s="326"/>
      <c r="C1269" s="322" t="s">
        <v>689</v>
      </c>
      <c r="D1269" s="323">
        <v>100000</v>
      </c>
      <c r="E1269" s="323">
        <f>E1268</f>
        <v>4</v>
      </c>
      <c r="F1269" s="323">
        <v>1</v>
      </c>
      <c r="G1269" s="324">
        <f t="shared" si="115"/>
        <v>400000</v>
      </c>
      <c r="H1269" s="252"/>
      <c r="I1269" s="57"/>
      <c r="J1269" s="57"/>
      <c r="K1269" s="57"/>
      <c r="L1269" s="57"/>
      <c r="M1269" s="57"/>
      <c r="N1269" s="58"/>
      <c r="O1269" s="58"/>
      <c r="P1269" s="58"/>
      <c r="Q1269" s="58"/>
      <c r="R1269" s="58"/>
      <c r="S1269" s="58"/>
      <c r="T1269" s="58"/>
      <c r="U1269" s="58"/>
    </row>
    <row r="1270" spans="1:21" s="59" customFormat="1" ht="12" customHeight="1" x14ac:dyDescent="0.25">
      <c r="A1270" s="321"/>
      <c r="B1270" s="327"/>
      <c r="C1270" s="323" t="s">
        <v>690</v>
      </c>
      <c r="D1270" s="323">
        <v>250000</v>
      </c>
      <c r="E1270" s="323">
        <v>3</v>
      </c>
      <c r="F1270" s="323">
        <v>5</v>
      </c>
      <c r="G1270" s="324">
        <f t="shared" si="115"/>
        <v>3750000</v>
      </c>
      <c r="H1270" s="252"/>
      <c r="I1270" s="57"/>
      <c r="J1270" s="57"/>
      <c r="K1270" s="57"/>
      <c r="L1270" s="57"/>
      <c r="M1270" s="57"/>
      <c r="N1270" s="58"/>
      <c r="O1270" s="58"/>
      <c r="P1270" s="58"/>
      <c r="Q1270" s="58"/>
      <c r="R1270" s="58"/>
      <c r="S1270" s="58"/>
      <c r="T1270" s="58"/>
      <c r="U1270" s="58"/>
    </row>
    <row r="1271" spans="1:21" s="59" customFormat="1" ht="12" customHeight="1" x14ac:dyDescent="0.25">
      <c r="A1271" s="321"/>
      <c r="B1271" s="327"/>
      <c r="C1271" s="323" t="s">
        <v>691</v>
      </c>
      <c r="D1271" s="323">
        <v>100000</v>
      </c>
      <c r="E1271" s="323">
        <v>3</v>
      </c>
      <c r="F1271" s="323">
        <v>1</v>
      </c>
      <c r="G1271" s="324">
        <f t="shared" si="115"/>
        <v>300000</v>
      </c>
      <c r="H1271" s="252"/>
      <c r="I1271" s="57"/>
      <c r="J1271" s="57"/>
      <c r="K1271" s="57"/>
      <c r="L1271" s="57"/>
      <c r="M1271" s="57"/>
      <c r="N1271" s="58"/>
      <c r="O1271" s="58"/>
      <c r="P1271" s="58"/>
      <c r="Q1271" s="58"/>
      <c r="R1271" s="58"/>
      <c r="S1271" s="58"/>
      <c r="T1271" s="58"/>
      <c r="U1271" s="58"/>
    </row>
    <row r="1272" spans="1:21" s="59" customFormat="1" ht="17.25" customHeight="1" x14ac:dyDescent="0.25">
      <c r="A1272" s="321"/>
      <c r="B1272" s="327" t="s">
        <v>692</v>
      </c>
      <c r="C1272" s="323" t="s">
        <v>476</v>
      </c>
      <c r="D1272" s="323">
        <v>250000</v>
      </c>
      <c r="E1272" s="323">
        <v>12</v>
      </c>
      <c r="F1272" s="323">
        <v>5</v>
      </c>
      <c r="G1272" s="324">
        <f t="shared" si="115"/>
        <v>15000000</v>
      </c>
      <c r="H1272" s="252"/>
      <c r="I1272" s="57"/>
      <c r="J1272" s="57"/>
      <c r="K1272" s="57"/>
      <c r="L1272" s="57"/>
      <c r="M1272" s="57"/>
      <c r="N1272" s="58"/>
      <c r="O1272" s="58"/>
      <c r="P1272" s="58"/>
      <c r="Q1272" s="58"/>
      <c r="R1272" s="58"/>
      <c r="S1272" s="58"/>
      <c r="T1272" s="58"/>
      <c r="U1272" s="58"/>
    </row>
    <row r="1273" spans="1:21" s="59" customFormat="1" ht="16.5" customHeight="1" x14ac:dyDescent="0.25">
      <c r="A1273" s="321"/>
      <c r="B1273" s="327" t="s">
        <v>693</v>
      </c>
      <c r="C1273" s="323" t="s">
        <v>477</v>
      </c>
      <c r="D1273" s="323">
        <f>D1271</f>
        <v>100000</v>
      </c>
      <c r="E1273" s="323">
        <f>E1272</f>
        <v>12</v>
      </c>
      <c r="F1273" s="323">
        <v>1</v>
      </c>
      <c r="G1273" s="324">
        <f t="shared" si="115"/>
        <v>1200000</v>
      </c>
      <c r="H1273" s="252"/>
      <c r="I1273" s="57"/>
      <c r="J1273" s="57"/>
      <c r="K1273" s="57"/>
      <c r="L1273" s="57"/>
      <c r="M1273" s="57"/>
      <c r="N1273" s="58"/>
      <c r="O1273" s="58"/>
      <c r="P1273" s="58"/>
      <c r="Q1273" s="58"/>
      <c r="R1273" s="58"/>
      <c r="S1273" s="58"/>
      <c r="T1273" s="58"/>
      <c r="U1273" s="58"/>
    </row>
    <row r="1274" spans="1:21" s="59" customFormat="1" ht="15.75" customHeight="1" x14ac:dyDescent="0.25">
      <c r="A1274" s="321"/>
      <c r="B1274" s="327" t="s">
        <v>707</v>
      </c>
      <c r="C1274" s="323" t="s">
        <v>478</v>
      </c>
      <c r="D1274" s="323">
        <v>250000</v>
      </c>
      <c r="E1274" s="323">
        <f>1*3</f>
        <v>3</v>
      </c>
      <c r="F1274" s="323">
        <v>5</v>
      </c>
      <c r="G1274" s="324">
        <f t="shared" si="115"/>
        <v>3750000</v>
      </c>
      <c r="H1274" s="252"/>
      <c r="I1274" s="57"/>
      <c r="J1274" s="57"/>
      <c r="K1274" s="57"/>
      <c r="L1274" s="57"/>
      <c r="M1274" s="57"/>
      <c r="N1274" s="58"/>
      <c r="O1274" s="58"/>
      <c r="P1274" s="58"/>
      <c r="Q1274" s="58"/>
      <c r="R1274" s="58"/>
      <c r="S1274" s="58"/>
      <c r="T1274" s="58"/>
      <c r="U1274" s="58"/>
    </row>
    <row r="1275" spans="1:21" s="59" customFormat="1" ht="12" customHeight="1" x14ac:dyDescent="0.25">
      <c r="A1275" s="321"/>
      <c r="B1275" s="327" t="s">
        <v>708</v>
      </c>
      <c r="C1275" s="323" t="s">
        <v>479</v>
      </c>
      <c r="D1275" s="323">
        <f>D1273</f>
        <v>100000</v>
      </c>
      <c r="E1275" s="323">
        <f>1*3</f>
        <v>3</v>
      </c>
      <c r="F1275" s="323">
        <v>1</v>
      </c>
      <c r="G1275" s="324">
        <f t="shared" si="115"/>
        <v>300000</v>
      </c>
      <c r="H1275" s="252"/>
      <c r="I1275" s="57"/>
      <c r="J1275" s="57"/>
      <c r="K1275" s="57"/>
      <c r="L1275" s="57"/>
      <c r="M1275" s="57"/>
      <c r="N1275" s="58"/>
      <c r="O1275" s="58"/>
      <c r="P1275" s="58"/>
      <c r="Q1275" s="58"/>
      <c r="R1275" s="58"/>
      <c r="S1275" s="58"/>
      <c r="T1275" s="58"/>
      <c r="U1275" s="58"/>
    </row>
    <row r="1276" spans="1:21" s="59" customFormat="1" ht="12" customHeight="1" x14ac:dyDescent="0.25">
      <c r="A1276" s="321"/>
      <c r="B1276" s="327"/>
      <c r="C1276" s="323" t="s">
        <v>480</v>
      </c>
      <c r="D1276" s="323">
        <v>250000</v>
      </c>
      <c r="E1276" s="323">
        <f>4*4</f>
        <v>16</v>
      </c>
      <c r="F1276" s="323">
        <v>5</v>
      </c>
      <c r="G1276" s="324">
        <f t="shared" si="115"/>
        <v>20000000</v>
      </c>
      <c r="H1276" s="252"/>
      <c r="I1276" s="57"/>
      <c r="J1276" s="57"/>
      <c r="K1276" s="57"/>
      <c r="L1276" s="57"/>
      <c r="M1276" s="57"/>
      <c r="N1276" s="58"/>
      <c r="O1276" s="58"/>
      <c r="P1276" s="58"/>
      <c r="Q1276" s="58"/>
      <c r="R1276" s="58"/>
      <c r="S1276" s="58"/>
      <c r="T1276" s="58"/>
      <c r="U1276" s="58"/>
    </row>
    <row r="1277" spans="1:21" s="59" customFormat="1" ht="12" customHeight="1" x14ac:dyDescent="0.25">
      <c r="A1277" s="321"/>
      <c r="B1277" s="327"/>
      <c r="C1277" s="323" t="s">
        <v>481</v>
      </c>
      <c r="D1277" s="323">
        <f>D1275</f>
        <v>100000</v>
      </c>
      <c r="E1277" s="323">
        <f>4*4</f>
        <v>16</v>
      </c>
      <c r="F1277" s="323">
        <v>1</v>
      </c>
      <c r="G1277" s="324">
        <f t="shared" si="115"/>
        <v>1600000</v>
      </c>
      <c r="H1277" s="252"/>
      <c r="I1277" s="57"/>
      <c r="J1277" s="57"/>
      <c r="K1277" s="57"/>
      <c r="L1277" s="57"/>
      <c r="M1277" s="57"/>
      <c r="N1277" s="58"/>
      <c r="O1277" s="58"/>
      <c r="P1277" s="58"/>
      <c r="Q1277" s="58"/>
      <c r="R1277" s="58"/>
      <c r="S1277" s="58"/>
      <c r="T1277" s="58"/>
      <c r="U1277" s="58"/>
    </row>
    <row r="1278" spans="1:21" s="59" customFormat="1" ht="12" customHeight="1" x14ac:dyDescent="0.25">
      <c r="A1278" s="321"/>
      <c r="B1278" s="327"/>
      <c r="C1278" s="323" t="s">
        <v>482</v>
      </c>
      <c r="D1278" s="323">
        <v>250000</v>
      </c>
      <c r="E1278" s="323">
        <f>1*4</f>
        <v>4</v>
      </c>
      <c r="F1278" s="323">
        <v>5</v>
      </c>
      <c r="G1278" s="324">
        <f t="shared" si="115"/>
        <v>5000000</v>
      </c>
      <c r="H1278" s="252"/>
      <c r="I1278" s="57"/>
      <c r="J1278" s="57"/>
      <c r="K1278" s="57"/>
      <c r="L1278" s="57"/>
      <c r="M1278" s="57"/>
      <c r="N1278" s="58"/>
      <c r="O1278" s="58"/>
      <c r="P1278" s="58"/>
      <c r="Q1278" s="58"/>
      <c r="R1278" s="58"/>
      <c r="S1278" s="58"/>
      <c r="T1278" s="58"/>
      <c r="U1278" s="58"/>
    </row>
    <row r="1279" spans="1:21" s="59" customFormat="1" ht="12" customHeight="1" x14ac:dyDescent="0.25">
      <c r="A1279" s="321"/>
      <c r="B1279" s="327"/>
      <c r="C1279" s="323" t="s">
        <v>483</v>
      </c>
      <c r="D1279" s="323">
        <f>D1277</f>
        <v>100000</v>
      </c>
      <c r="E1279" s="323">
        <f>1*4</f>
        <v>4</v>
      </c>
      <c r="F1279" s="323">
        <v>1</v>
      </c>
      <c r="G1279" s="324">
        <f t="shared" si="115"/>
        <v>400000</v>
      </c>
      <c r="H1279" s="252"/>
      <c r="I1279" s="57"/>
      <c r="J1279" s="57"/>
      <c r="K1279" s="57"/>
      <c r="L1279" s="57"/>
      <c r="M1279" s="57"/>
      <c r="N1279" s="58"/>
      <c r="O1279" s="58"/>
      <c r="P1279" s="58"/>
      <c r="Q1279" s="58"/>
      <c r="R1279" s="58"/>
      <c r="S1279" s="58"/>
      <c r="T1279" s="58"/>
      <c r="U1279" s="58"/>
    </row>
    <row r="1280" spans="1:21" s="59" customFormat="1" ht="12" customHeight="1" x14ac:dyDescent="0.25">
      <c r="A1280" s="321"/>
      <c r="B1280" s="327"/>
      <c r="C1280" s="323" t="s">
        <v>485</v>
      </c>
      <c r="D1280" s="323">
        <v>7500</v>
      </c>
      <c r="E1280" s="323">
        <f>504/6</f>
        <v>84</v>
      </c>
      <c r="F1280" s="323">
        <v>2</v>
      </c>
      <c r="G1280" s="324">
        <f t="shared" si="115"/>
        <v>1260000</v>
      </c>
      <c r="H1280" s="252"/>
      <c r="I1280" s="57"/>
      <c r="J1280" s="57"/>
      <c r="K1280" s="57"/>
      <c r="L1280" s="57"/>
      <c r="M1280" s="57"/>
      <c r="N1280" s="58"/>
      <c r="O1280" s="58"/>
      <c r="P1280" s="58"/>
      <c r="Q1280" s="58"/>
      <c r="R1280" s="58"/>
      <c r="S1280" s="58"/>
      <c r="T1280" s="58"/>
      <c r="U1280" s="58"/>
    </row>
    <row r="1281" spans="1:21" s="59" customFormat="1" ht="12" customHeight="1" x14ac:dyDescent="0.25">
      <c r="A1281" s="321"/>
      <c r="B1281" s="327"/>
      <c r="C1281" s="323" t="s">
        <v>486</v>
      </c>
      <c r="D1281" s="323">
        <v>7500</v>
      </c>
      <c r="E1281" s="323">
        <v>52</v>
      </c>
      <c r="F1281" s="323">
        <v>2</v>
      </c>
      <c r="G1281" s="324">
        <f t="shared" si="115"/>
        <v>780000</v>
      </c>
      <c r="H1281" s="252"/>
      <c r="I1281" s="57"/>
      <c r="J1281" s="57"/>
      <c r="K1281" s="57"/>
      <c r="L1281" s="57"/>
      <c r="M1281" s="57"/>
      <c r="N1281" s="58"/>
      <c r="O1281" s="58"/>
      <c r="P1281" s="58"/>
      <c r="Q1281" s="58"/>
      <c r="R1281" s="58"/>
      <c r="S1281" s="58"/>
      <c r="T1281" s="58"/>
      <c r="U1281" s="58"/>
    </row>
    <row r="1282" spans="1:21" s="59" customFormat="1" ht="12" customHeight="1" x14ac:dyDescent="0.25">
      <c r="A1282" s="321"/>
      <c r="B1282" s="327"/>
      <c r="C1282" s="323" t="s">
        <v>487</v>
      </c>
      <c r="D1282" s="323">
        <v>7500</v>
      </c>
      <c r="E1282" s="323">
        <v>86</v>
      </c>
      <c r="F1282" s="323">
        <v>2</v>
      </c>
      <c r="G1282" s="324">
        <f t="shared" si="115"/>
        <v>1290000</v>
      </c>
      <c r="H1282" s="252"/>
      <c r="I1282" s="57"/>
      <c r="J1282" s="57"/>
      <c r="K1282" s="57"/>
      <c r="L1282" s="57"/>
      <c r="M1282" s="57"/>
      <c r="N1282" s="58"/>
      <c r="O1282" s="58"/>
      <c r="P1282" s="58"/>
      <c r="Q1282" s="58"/>
      <c r="R1282" s="58"/>
      <c r="S1282" s="58"/>
      <c r="T1282" s="58"/>
      <c r="U1282" s="58"/>
    </row>
    <row r="1283" spans="1:21" s="59" customFormat="1" ht="12" customHeight="1" x14ac:dyDescent="0.25">
      <c r="A1283" s="321"/>
      <c r="B1283" s="327"/>
      <c r="C1283" s="323" t="s">
        <v>488</v>
      </c>
      <c r="D1283" s="323">
        <v>7500</v>
      </c>
      <c r="E1283" s="323">
        <f>426/6</f>
        <v>71</v>
      </c>
      <c r="F1283" s="323">
        <v>2</v>
      </c>
      <c r="G1283" s="324">
        <f t="shared" si="115"/>
        <v>1065000</v>
      </c>
      <c r="H1283" s="252"/>
      <c r="I1283" s="57"/>
      <c r="J1283" s="57"/>
      <c r="K1283" s="57"/>
      <c r="L1283" s="57"/>
      <c r="M1283" s="57"/>
      <c r="N1283" s="58"/>
      <c r="O1283" s="58"/>
      <c r="P1283" s="58"/>
      <c r="Q1283" s="58"/>
      <c r="R1283" s="58"/>
      <c r="S1283" s="58"/>
      <c r="T1283" s="58"/>
      <c r="U1283" s="58"/>
    </row>
    <row r="1284" spans="1:21" s="59" customFormat="1" ht="12" customHeight="1" x14ac:dyDescent="0.25">
      <c r="A1284" s="321"/>
      <c r="B1284" s="327"/>
      <c r="C1284" s="323" t="s">
        <v>489</v>
      </c>
      <c r="D1284" s="323">
        <v>7500</v>
      </c>
      <c r="E1284" s="323">
        <v>33</v>
      </c>
      <c r="F1284" s="323">
        <v>2</v>
      </c>
      <c r="G1284" s="324">
        <f t="shared" si="115"/>
        <v>495000</v>
      </c>
      <c r="H1284" s="252"/>
      <c r="I1284" s="57"/>
      <c r="J1284" s="57"/>
      <c r="K1284" s="57"/>
      <c r="L1284" s="57"/>
      <c r="M1284" s="57"/>
      <c r="N1284" s="58"/>
      <c r="O1284" s="58"/>
      <c r="P1284" s="58"/>
      <c r="Q1284" s="58"/>
      <c r="R1284" s="58"/>
      <c r="S1284" s="58"/>
      <c r="T1284" s="58"/>
      <c r="U1284" s="58"/>
    </row>
    <row r="1285" spans="1:21" s="59" customFormat="1" ht="12" customHeight="1" x14ac:dyDescent="0.25">
      <c r="A1285" s="321"/>
      <c r="B1285" s="327"/>
      <c r="C1285" s="323" t="s">
        <v>490</v>
      </c>
      <c r="D1285" s="323">
        <v>7500</v>
      </c>
      <c r="E1285" s="323">
        <v>44</v>
      </c>
      <c r="F1285" s="323">
        <v>2</v>
      </c>
      <c r="G1285" s="324">
        <f t="shared" si="115"/>
        <v>660000</v>
      </c>
      <c r="H1285" s="252"/>
      <c r="I1285" s="57"/>
      <c r="J1285" s="57"/>
      <c r="K1285" s="57"/>
      <c r="L1285" s="57"/>
      <c r="M1285" s="57"/>
      <c r="N1285" s="58"/>
      <c r="O1285" s="58"/>
      <c r="P1285" s="58"/>
      <c r="Q1285" s="58"/>
      <c r="R1285" s="58"/>
      <c r="S1285" s="58"/>
      <c r="T1285" s="58"/>
      <c r="U1285" s="58"/>
    </row>
    <row r="1286" spans="1:21" s="59" customFormat="1" ht="12" customHeight="1" x14ac:dyDescent="0.25">
      <c r="A1286" s="321"/>
      <c r="B1286" s="327"/>
      <c r="C1286" s="323" t="s">
        <v>491</v>
      </c>
      <c r="D1286" s="323">
        <v>7500</v>
      </c>
      <c r="E1286" s="323">
        <v>20</v>
      </c>
      <c r="F1286" s="323">
        <v>2</v>
      </c>
      <c r="G1286" s="324">
        <f t="shared" si="115"/>
        <v>300000</v>
      </c>
      <c r="H1286" s="252"/>
      <c r="I1286" s="57"/>
      <c r="J1286" s="57"/>
      <c r="K1286" s="57"/>
      <c r="L1286" s="57"/>
      <c r="M1286" s="57"/>
      <c r="N1286" s="58"/>
      <c r="O1286" s="58"/>
      <c r="P1286" s="58"/>
      <c r="Q1286" s="58"/>
      <c r="R1286" s="58"/>
      <c r="S1286" s="58"/>
      <c r="T1286" s="58"/>
      <c r="U1286" s="58"/>
    </row>
    <row r="1287" spans="1:21" s="59" customFormat="1" ht="33" customHeight="1" x14ac:dyDescent="0.25">
      <c r="A1287" s="321"/>
      <c r="B1287" s="327"/>
      <c r="C1287" s="337" t="s">
        <v>492</v>
      </c>
      <c r="D1287" s="323">
        <v>35000</v>
      </c>
      <c r="E1287" s="323">
        <v>5</v>
      </c>
      <c r="F1287" s="323">
        <v>4</v>
      </c>
      <c r="G1287" s="324">
        <f t="shared" si="115"/>
        <v>700000</v>
      </c>
      <c r="H1287" s="252"/>
      <c r="I1287" s="57"/>
      <c r="J1287" s="57"/>
      <c r="K1287" s="57"/>
      <c r="L1287" s="57"/>
      <c r="M1287" s="57"/>
      <c r="N1287" s="58"/>
      <c r="O1287" s="58"/>
      <c r="P1287" s="58"/>
      <c r="Q1287" s="58"/>
      <c r="R1287" s="58"/>
      <c r="S1287" s="58"/>
      <c r="T1287" s="58"/>
      <c r="U1287" s="58"/>
    </row>
    <row r="1288" spans="1:21" s="59" customFormat="1" ht="21" customHeight="1" x14ac:dyDescent="0.25">
      <c r="A1288" s="321"/>
      <c r="B1288" s="327"/>
      <c r="C1288" s="323" t="s">
        <v>709</v>
      </c>
      <c r="D1288" s="323">
        <f>7500*65</f>
        <v>487500</v>
      </c>
      <c r="E1288" s="323">
        <v>3</v>
      </c>
      <c r="F1288" s="323">
        <v>2</v>
      </c>
      <c r="G1288" s="324">
        <f t="shared" si="115"/>
        <v>2925000</v>
      </c>
      <c r="H1288" s="252"/>
      <c r="I1288" s="57"/>
      <c r="J1288" s="57"/>
      <c r="K1288" s="57"/>
      <c r="L1288" s="57"/>
      <c r="M1288" s="57"/>
      <c r="N1288" s="58"/>
      <c r="O1288" s="58"/>
      <c r="P1288" s="58"/>
      <c r="Q1288" s="58"/>
      <c r="R1288" s="58"/>
      <c r="S1288" s="58"/>
      <c r="T1288" s="58"/>
      <c r="U1288" s="58"/>
    </row>
    <row r="1289" spans="1:21" s="59" customFormat="1" ht="12" customHeight="1" x14ac:dyDescent="0.25">
      <c r="A1289" s="321"/>
      <c r="B1289" s="327"/>
      <c r="C1289" s="323" t="s">
        <v>704</v>
      </c>
      <c r="D1289" s="323">
        <f>7500*10</f>
        <v>75000</v>
      </c>
      <c r="E1289" s="323">
        <v>3</v>
      </c>
      <c r="F1289" s="323">
        <v>2</v>
      </c>
      <c r="G1289" s="324">
        <f t="shared" si="115"/>
        <v>450000</v>
      </c>
      <c r="H1289" s="252"/>
      <c r="I1289" s="57"/>
      <c r="J1289" s="57"/>
      <c r="K1289" s="57"/>
      <c r="L1289" s="57"/>
      <c r="M1289" s="57"/>
      <c r="N1289" s="58"/>
      <c r="O1289" s="58"/>
      <c r="P1289" s="58"/>
      <c r="Q1289" s="58"/>
      <c r="R1289" s="58"/>
      <c r="S1289" s="58"/>
      <c r="T1289" s="58"/>
      <c r="U1289" s="58"/>
    </row>
    <row r="1290" spans="1:21" s="59" customFormat="1" ht="11.25" customHeight="1" x14ac:dyDescent="0.25">
      <c r="A1290" s="321"/>
      <c r="B1290" s="327"/>
      <c r="C1290" s="322" t="s">
        <v>231</v>
      </c>
      <c r="D1290" s="323">
        <v>1000000</v>
      </c>
      <c r="E1290" s="323">
        <v>1</v>
      </c>
      <c r="F1290" s="323">
        <v>4</v>
      </c>
      <c r="G1290" s="324">
        <f>D1290*E1290*F1290</f>
        <v>4000000</v>
      </c>
      <c r="H1290" s="252"/>
      <c r="I1290" s="57"/>
      <c r="J1290" s="57"/>
      <c r="K1290" s="57"/>
      <c r="L1290" s="57"/>
      <c r="M1290" s="57"/>
      <c r="N1290" s="58"/>
      <c r="O1290" s="58"/>
      <c r="P1290" s="58"/>
      <c r="Q1290" s="58"/>
      <c r="R1290" s="58"/>
      <c r="S1290" s="58"/>
      <c r="T1290" s="58"/>
      <c r="U1290" s="58"/>
    </row>
    <row r="1291" spans="1:21" s="59" customFormat="1" ht="11.25" customHeight="1" x14ac:dyDescent="0.25">
      <c r="A1291" s="321"/>
      <c r="B1291" s="327"/>
      <c r="C1291" s="322" t="s">
        <v>97</v>
      </c>
      <c r="D1291" s="323">
        <v>40000</v>
      </c>
      <c r="E1291" s="323">
        <f>E1263+E1264+E1266+E1268+E1272+E1276+E1287</f>
        <v>43</v>
      </c>
      <c r="F1291" s="323">
        <v>4</v>
      </c>
      <c r="G1291" s="324">
        <f>D1291*E1291*F1291</f>
        <v>6880000</v>
      </c>
      <c r="H1291" s="252"/>
      <c r="I1291" s="57"/>
      <c r="J1291" s="57"/>
      <c r="K1291" s="57"/>
      <c r="L1291" s="57"/>
      <c r="M1291" s="57"/>
      <c r="N1291" s="58"/>
      <c r="O1291" s="58"/>
      <c r="P1291" s="58"/>
      <c r="Q1291" s="58"/>
      <c r="R1291" s="58"/>
      <c r="S1291" s="58"/>
      <c r="T1291" s="58"/>
      <c r="U1291" s="58"/>
    </row>
    <row r="1292" spans="1:21" s="59" customFormat="1" ht="12" customHeight="1" x14ac:dyDescent="0.25">
      <c r="A1292" s="321"/>
      <c r="B1292" s="327"/>
      <c r="C1292" s="323" t="s">
        <v>60</v>
      </c>
      <c r="D1292" s="323">
        <f>G1292/E1292/F1292</f>
        <v>13279.069767441861</v>
      </c>
      <c r="E1292" s="323">
        <f>E1291</f>
        <v>43</v>
      </c>
      <c r="F1292" s="323">
        <v>4</v>
      </c>
      <c r="G1292" s="324">
        <v>2284000</v>
      </c>
      <c r="H1292" s="252"/>
      <c r="I1292" s="57"/>
      <c r="J1292" s="57"/>
      <c r="K1292" s="57"/>
      <c r="L1292" s="57"/>
      <c r="M1292" s="57"/>
      <c r="N1292" s="58"/>
      <c r="O1292" s="58"/>
      <c r="P1292" s="58"/>
      <c r="Q1292" s="58"/>
      <c r="R1292" s="58"/>
      <c r="S1292" s="58"/>
      <c r="T1292" s="58"/>
      <c r="U1292" s="58"/>
    </row>
    <row r="1293" spans="1:21" s="59" customFormat="1" ht="12" customHeight="1" x14ac:dyDescent="0.25">
      <c r="A1293" s="321"/>
      <c r="B1293" s="327"/>
      <c r="C1293" s="323" t="s">
        <v>147</v>
      </c>
      <c r="D1293" s="323">
        <f>G1293/E1293/F1293</f>
        <v>111428.57142857143</v>
      </c>
      <c r="E1293" s="323">
        <v>7</v>
      </c>
      <c r="F1293" s="323">
        <v>4</v>
      </c>
      <c r="G1293" s="324">
        <v>3120000</v>
      </c>
      <c r="H1293" s="252"/>
      <c r="I1293" s="57"/>
      <c r="J1293" s="57"/>
      <c r="K1293" s="57"/>
      <c r="L1293" s="57"/>
      <c r="M1293" s="57"/>
      <c r="N1293" s="58"/>
      <c r="O1293" s="58"/>
      <c r="P1293" s="58"/>
      <c r="Q1293" s="58"/>
      <c r="R1293" s="58"/>
      <c r="S1293" s="58"/>
      <c r="T1293" s="58"/>
      <c r="U1293" s="58"/>
    </row>
    <row r="1294" spans="1:21" s="59" customFormat="1" ht="12" customHeight="1" thickBot="1" x14ac:dyDescent="0.3">
      <c r="A1294" s="321"/>
      <c r="B1294" s="326"/>
      <c r="C1294" s="323"/>
      <c r="D1294" s="323"/>
      <c r="E1294" s="323"/>
      <c r="F1294" s="323"/>
      <c r="G1294" s="324"/>
      <c r="H1294" s="252"/>
      <c r="I1294" s="57"/>
      <c r="J1294" s="57"/>
      <c r="K1294" s="57"/>
      <c r="L1294" s="57"/>
      <c r="M1294" s="57"/>
      <c r="N1294" s="58"/>
      <c r="O1294" s="58"/>
      <c r="P1294" s="58"/>
      <c r="Q1294" s="58"/>
      <c r="R1294" s="58"/>
      <c r="S1294" s="58"/>
      <c r="T1294" s="58"/>
      <c r="U1294" s="58"/>
    </row>
    <row r="1295" spans="1:21" s="59" customFormat="1" ht="12" customHeight="1" thickBot="1" x14ac:dyDescent="0.3">
      <c r="A1295" s="321"/>
      <c r="B1295" s="326"/>
      <c r="C1295" s="328" t="s">
        <v>140</v>
      </c>
      <c r="D1295" s="328"/>
      <c r="E1295" s="328"/>
      <c r="F1295" s="328"/>
      <c r="G1295" s="329">
        <f>SUM(G1263:G1294)</f>
        <v>89909000</v>
      </c>
      <c r="H1295" s="253">
        <f>G1295/8136</f>
        <v>11050.762045231071</v>
      </c>
      <c r="I1295" s="57"/>
      <c r="J1295" s="57"/>
      <c r="K1295" s="57"/>
      <c r="L1295" s="57"/>
      <c r="M1295" s="57"/>
      <c r="N1295" s="58"/>
      <c r="O1295" s="58"/>
      <c r="P1295" s="58"/>
      <c r="Q1295" s="58"/>
      <c r="R1295" s="58"/>
      <c r="S1295" s="58"/>
      <c r="T1295" s="58"/>
      <c r="U1295" s="58"/>
    </row>
    <row r="1296" spans="1:21" s="59" customFormat="1" ht="12" customHeight="1" x14ac:dyDescent="0.25">
      <c r="A1296" s="321"/>
      <c r="B1296" s="326"/>
      <c r="C1296" s="323"/>
      <c r="D1296" s="323"/>
      <c r="E1296" s="323"/>
      <c r="F1296" s="323"/>
      <c r="G1296" s="324"/>
      <c r="H1296" s="252"/>
      <c r="I1296" s="57"/>
      <c r="J1296" s="57"/>
      <c r="K1296" s="57"/>
      <c r="L1296" s="57"/>
      <c r="M1296" s="57"/>
      <c r="N1296" s="58"/>
      <c r="O1296" s="58"/>
      <c r="P1296" s="58"/>
      <c r="Q1296" s="58"/>
      <c r="R1296" s="58"/>
      <c r="S1296" s="58"/>
      <c r="T1296" s="58"/>
      <c r="U1296" s="58"/>
    </row>
    <row r="1297" spans="1:21" s="59" customFormat="1" ht="12" customHeight="1" thickBot="1" x14ac:dyDescent="0.3">
      <c r="A1297" s="331"/>
      <c r="B1297" s="332"/>
      <c r="C1297" s="332"/>
      <c r="D1297" s="333"/>
      <c r="E1297" s="333"/>
      <c r="F1297" s="334"/>
      <c r="G1297" s="335"/>
      <c r="H1297" s="252"/>
      <c r="I1297" s="57"/>
      <c r="J1297" s="57"/>
      <c r="K1297" s="57"/>
      <c r="L1297" s="57"/>
      <c r="M1297" s="57"/>
      <c r="N1297" s="58"/>
      <c r="O1297" s="58"/>
      <c r="P1297" s="58"/>
      <c r="Q1297" s="58"/>
      <c r="R1297" s="58"/>
      <c r="S1297" s="58"/>
      <c r="T1297" s="58"/>
      <c r="U1297" s="58"/>
    </row>
    <row r="1298" spans="1:21" s="57" customFormat="1" ht="16.5" thickBot="1" x14ac:dyDescent="0.3">
      <c r="A1298" s="336"/>
      <c r="B1298" s="336"/>
      <c r="C1298" s="336"/>
      <c r="D1298" s="336"/>
      <c r="E1298" s="336"/>
      <c r="F1298" s="336"/>
      <c r="G1298" s="336"/>
      <c r="H1298" s="252"/>
    </row>
    <row r="1299" spans="1:21" s="59" customFormat="1" ht="12" customHeight="1" x14ac:dyDescent="0.25">
      <c r="A1299" s="318" t="s">
        <v>710</v>
      </c>
      <c r="B1299" s="760" t="s">
        <v>711</v>
      </c>
      <c r="C1299" s="319" t="s">
        <v>39</v>
      </c>
      <c r="D1299" s="319">
        <v>150000</v>
      </c>
      <c r="E1299" s="319">
        <v>1</v>
      </c>
      <c r="F1299" s="319">
        <v>1</v>
      </c>
      <c r="G1299" s="320">
        <f t="shared" ref="G1299:G1319" si="116">D1299*E1299*F1299</f>
        <v>150000</v>
      </c>
      <c r="H1299" s="252"/>
      <c r="I1299" s="57"/>
      <c r="J1299" s="57"/>
      <c r="K1299" s="57"/>
      <c r="L1299" s="57"/>
      <c r="M1299" s="57"/>
      <c r="N1299" s="58"/>
      <c r="O1299" s="58"/>
      <c r="P1299" s="58"/>
      <c r="Q1299" s="58"/>
      <c r="R1299" s="58"/>
      <c r="S1299" s="58"/>
      <c r="T1299" s="58"/>
      <c r="U1299" s="58"/>
    </row>
    <row r="1300" spans="1:21" s="59" customFormat="1" ht="12" customHeight="1" x14ac:dyDescent="0.25">
      <c r="A1300" s="321"/>
      <c r="B1300" s="761"/>
      <c r="C1300" s="323" t="s">
        <v>445</v>
      </c>
      <c r="D1300" s="323">
        <v>270000</v>
      </c>
      <c r="E1300" s="323">
        <v>1</v>
      </c>
      <c r="F1300" s="323">
        <v>4</v>
      </c>
      <c r="G1300" s="324">
        <f t="shared" si="116"/>
        <v>1080000</v>
      </c>
      <c r="H1300" s="252"/>
      <c r="I1300" s="57"/>
      <c r="J1300" s="57"/>
      <c r="K1300" s="57"/>
      <c r="L1300" s="57"/>
      <c r="M1300" s="57"/>
      <c r="N1300" s="58"/>
      <c r="O1300" s="58"/>
      <c r="P1300" s="58"/>
      <c r="Q1300" s="58"/>
      <c r="R1300" s="58"/>
      <c r="S1300" s="58"/>
      <c r="T1300" s="58"/>
      <c r="U1300" s="58"/>
    </row>
    <row r="1301" spans="1:21" s="59" customFormat="1" ht="12" customHeight="1" x14ac:dyDescent="0.25">
      <c r="A1301" s="321"/>
      <c r="B1301" s="761"/>
      <c r="C1301" s="323" t="s">
        <v>446</v>
      </c>
      <c r="D1301" s="323">
        <v>100000</v>
      </c>
      <c r="E1301" s="323">
        <v>1</v>
      </c>
      <c r="F1301" s="323">
        <v>1</v>
      </c>
      <c r="G1301" s="324">
        <f t="shared" si="116"/>
        <v>100000</v>
      </c>
      <c r="H1301" s="252"/>
      <c r="I1301" s="57"/>
      <c r="J1301" s="57"/>
      <c r="K1301" s="57"/>
      <c r="L1301" s="57"/>
      <c r="M1301" s="57"/>
      <c r="N1301" s="58"/>
      <c r="O1301" s="58"/>
      <c r="P1301" s="58"/>
      <c r="Q1301" s="58"/>
      <c r="R1301" s="58"/>
      <c r="S1301" s="58"/>
      <c r="T1301" s="58"/>
      <c r="U1301" s="58"/>
    </row>
    <row r="1302" spans="1:21" s="59" customFormat="1" ht="25.5" customHeight="1" x14ac:dyDescent="0.25">
      <c r="A1302" s="321"/>
      <c r="B1302" s="338"/>
      <c r="C1302" s="322" t="s">
        <v>712</v>
      </c>
      <c r="D1302" s="323">
        <v>250000</v>
      </c>
      <c r="E1302" s="323">
        <v>3</v>
      </c>
      <c r="F1302" s="323">
        <v>4</v>
      </c>
      <c r="G1302" s="324">
        <f t="shared" si="116"/>
        <v>3000000</v>
      </c>
      <c r="H1302" s="252"/>
      <c r="I1302" s="57"/>
      <c r="J1302" s="57"/>
      <c r="K1302" s="57"/>
      <c r="L1302" s="57"/>
      <c r="M1302" s="57"/>
      <c r="N1302" s="58"/>
      <c r="O1302" s="58"/>
      <c r="P1302" s="58"/>
      <c r="Q1302" s="58"/>
      <c r="R1302" s="58"/>
      <c r="S1302" s="58"/>
      <c r="T1302" s="58"/>
      <c r="U1302" s="58"/>
    </row>
    <row r="1303" spans="1:21" s="59" customFormat="1" ht="47.25" x14ac:dyDescent="0.25">
      <c r="A1303" s="321"/>
      <c r="B1303" s="326"/>
      <c r="C1303" s="322" t="s">
        <v>713</v>
      </c>
      <c r="D1303" s="323">
        <v>100000</v>
      </c>
      <c r="E1303" s="323">
        <f>E1302</f>
        <v>3</v>
      </c>
      <c r="F1303" s="323">
        <v>1</v>
      </c>
      <c r="G1303" s="324">
        <f t="shared" si="116"/>
        <v>300000</v>
      </c>
      <c r="H1303" s="252"/>
      <c r="I1303" s="57"/>
      <c r="J1303" s="57"/>
      <c r="K1303" s="57"/>
      <c r="L1303" s="57"/>
      <c r="M1303" s="57"/>
      <c r="N1303" s="58"/>
      <c r="O1303" s="58"/>
      <c r="P1303" s="58"/>
      <c r="Q1303" s="58"/>
      <c r="R1303" s="58"/>
      <c r="S1303" s="58"/>
      <c r="T1303" s="58"/>
      <c r="U1303" s="58"/>
    </row>
    <row r="1304" spans="1:21" s="59" customFormat="1" ht="12.75" customHeight="1" x14ac:dyDescent="0.25">
      <c r="A1304" s="321"/>
      <c r="B1304" s="326"/>
      <c r="C1304" s="323" t="s">
        <v>714</v>
      </c>
      <c r="D1304" s="323">
        <f>D1302</f>
        <v>250000</v>
      </c>
      <c r="E1304" s="323">
        <v>2</v>
      </c>
      <c r="F1304" s="323">
        <v>4</v>
      </c>
      <c r="G1304" s="324">
        <f t="shared" si="116"/>
        <v>2000000</v>
      </c>
      <c r="H1304" s="252"/>
      <c r="I1304" s="57"/>
      <c r="J1304" s="57"/>
      <c r="K1304" s="57"/>
      <c r="L1304" s="57"/>
      <c r="M1304" s="57"/>
      <c r="N1304" s="58"/>
      <c r="O1304" s="58"/>
      <c r="P1304" s="58"/>
      <c r="Q1304" s="58"/>
      <c r="R1304" s="58"/>
      <c r="S1304" s="58"/>
      <c r="T1304" s="58"/>
      <c r="U1304" s="58"/>
    </row>
    <row r="1305" spans="1:21" s="59" customFormat="1" ht="12.75" customHeight="1" x14ac:dyDescent="0.25">
      <c r="A1305" s="321"/>
      <c r="B1305" s="326"/>
      <c r="C1305" s="323" t="s">
        <v>715</v>
      </c>
      <c r="D1305" s="323">
        <v>100000</v>
      </c>
      <c r="E1305" s="323">
        <f>E1304</f>
        <v>2</v>
      </c>
      <c r="F1305" s="323">
        <v>1</v>
      </c>
      <c r="G1305" s="324">
        <f t="shared" si="116"/>
        <v>200000</v>
      </c>
      <c r="H1305" s="252"/>
      <c r="I1305" s="57"/>
      <c r="J1305" s="57"/>
      <c r="K1305" s="57"/>
      <c r="L1305" s="57"/>
      <c r="M1305" s="57"/>
      <c r="N1305" s="58"/>
      <c r="O1305" s="58"/>
      <c r="P1305" s="58"/>
      <c r="Q1305" s="58"/>
      <c r="R1305" s="58"/>
      <c r="S1305" s="58"/>
      <c r="T1305" s="58"/>
      <c r="U1305" s="58"/>
    </row>
    <row r="1306" spans="1:21" s="59" customFormat="1" ht="15.75" x14ac:dyDescent="0.25">
      <c r="A1306" s="321"/>
      <c r="B1306" s="326"/>
      <c r="C1306" s="322" t="s">
        <v>716</v>
      </c>
      <c r="D1306" s="323">
        <v>250000</v>
      </c>
      <c r="E1306" s="323">
        <v>2</v>
      </c>
      <c r="F1306" s="323">
        <v>4</v>
      </c>
      <c r="G1306" s="324">
        <f t="shared" si="116"/>
        <v>2000000</v>
      </c>
      <c r="H1306" s="252"/>
      <c r="I1306" s="57"/>
      <c r="J1306" s="57"/>
      <c r="K1306" s="57"/>
      <c r="L1306" s="57"/>
      <c r="M1306" s="57"/>
      <c r="N1306" s="58"/>
      <c r="O1306" s="58"/>
      <c r="P1306" s="58"/>
      <c r="Q1306" s="58"/>
      <c r="R1306" s="58"/>
      <c r="S1306" s="58"/>
      <c r="T1306" s="58"/>
      <c r="U1306" s="58"/>
    </row>
    <row r="1307" spans="1:21" s="59" customFormat="1" ht="15.75" x14ac:dyDescent="0.25">
      <c r="A1307" s="321"/>
      <c r="B1307" s="326"/>
      <c r="C1307" s="322" t="s">
        <v>450</v>
      </c>
      <c r="D1307" s="323">
        <v>100000</v>
      </c>
      <c r="E1307" s="323">
        <f>E1306</f>
        <v>2</v>
      </c>
      <c r="F1307" s="323">
        <v>1</v>
      </c>
      <c r="G1307" s="324">
        <f t="shared" si="116"/>
        <v>200000</v>
      </c>
      <c r="H1307" s="252"/>
      <c r="I1307" s="57"/>
      <c r="J1307" s="57"/>
      <c r="K1307" s="57"/>
      <c r="L1307" s="57"/>
      <c r="M1307" s="57"/>
      <c r="N1307" s="58"/>
      <c r="O1307" s="58"/>
      <c r="P1307" s="58"/>
      <c r="Q1307" s="58"/>
      <c r="R1307" s="58"/>
      <c r="S1307" s="58"/>
      <c r="T1307" s="58"/>
      <c r="U1307" s="58"/>
    </row>
    <row r="1308" spans="1:21" s="59" customFormat="1" ht="12" customHeight="1" x14ac:dyDescent="0.25">
      <c r="A1308" s="321"/>
      <c r="B1308" s="326"/>
      <c r="C1308" s="323" t="s">
        <v>717</v>
      </c>
      <c r="D1308" s="323">
        <v>250000</v>
      </c>
      <c r="E1308" s="323">
        <v>2</v>
      </c>
      <c r="F1308" s="323">
        <v>4</v>
      </c>
      <c r="G1308" s="324">
        <f t="shared" si="116"/>
        <v>2000000</v>
      </c>
      <c r="H1308" s="252"/>
      <c r="I1308" s="57"/>
      <c r="J1308" s="57"/>
      <c r="K1308" s="57"/>
      <c r="L1308" s="57"/>
      <c r="M1308" s="57"/>
      <c r="N1308" s="58"/>
      <c r="O1308" s="58"/>
      <c r="P1308" s="58"/>
      <c r="Q1308" s="58"/>
      <c r="R1308" s="58"/>
      <c r="S1308" s="58"/>
      <c r="T1308" s="58"/>
      <c r="U1308" s="58"/>
    </row>
    <row r="1309" spans="1:21" s="59" customFormat="1" ht="12" customHeight="1" x14ac:dyDescent="0.25">
      <c r="A1309" s="321"/>
      <c r="B1309" s="326"/>
      <c r="C1309" s="323" t="s">
        <v>718</v>
      </c>
      <c r="D1309" s="323">
        <v>100000</v>
      </c>
      <c r="E1309" s="323">
        <v>2</v>
      </c>
      <c r="F1309" s="323">
        <v>1</v>
      </c>
      <c r="G1309" s="324">
        <f t="shared" si="116"/>
        <v>200000</v>
      </c>
      <c r="H1309" s="252"/>
      <c r="I1309" s="57"/>
      <c r="J1309" s="57"/>
      <c r="K1309" s="57"/>
      <c r="L1309" s="57"/>
      <c r="M1309" s="57"/>
      <c r="N1309" s="58"/>
      <c r="O1309" s="58"/>
      <c r="P1309" s="58"/>
      <c r="Q1309" s="58"/>
      <c r="R1309" s="58"/>
      <c r="S1309" s="58"/>
      <c r="T1309" s="58"/>
      <c r="U1309" s="58"/>
    </row>
    <row r="1310" spans="1:21" s="59" customFormat="1" ht="25.5" customHeight="1" x14ac:dyDescent="0.25">
      <c r="A1310" s="321"/>
      <c r="B1310" s="326"/>
      <c r="C1310" s="337" t="s">
        <v>719</v>
      </c>
      <c r="D1310" s="323">
        <v>250000</v>
      </c>
      <c r="E1310" s="323">
        <v>25</v>
      </c>
      <c r="F1310" s="323">
        <v>4</v>
      </c>
      <c r="G1310" s="324">
        <f t="shared" si="116"/>
        <v>25000000</v>
      </c>
      <c r="H1310" s="252"/>
      <c r="I1310" s="57"/>
      <c r="J1310" s="57"/>
      <c r="K1310" s="57"/>
      <c r="L1310" s="57"/>
      <c r="M1310" s="57"/>
      <c r="N1310" s="58"/>
      <c r="O1310" s="58"/>
      <c r="P1310" s="58"/>
      <c r="Q1310" s="58"/>
      <c r="R1310" s="58"/>
      <c r="S1310" s="58"/>
      <c r="T1310" s="58"/>
      <c r="U1310" s="58"/>
    </row>
    <row r="1311" spans="1:21" s="59" customFormat="1" ht="47.25" x14ac:dyDescent="0.25">
      <c r="A1311" s="321"/>
      <c r="B1311" s="326"/>
      <c r="C1311" s="337" t="s">
        <v>720</v>
      </c>
      <c r="D1311" s="323">
        <v>100000</v>
      </c>
      <c r="E1311" s="323">
        <f>E1310</f>
        <v>25</v>
      </c>
      <c r="F1311" s="323">
        <v>1</v>
      </c>
      <c r="G1311" s="324">
        <f t="shared" si="116"/>
        <v>2500000</v>
      </c>
      <c r="H1311" s="252"/>
      <c r="I1311" s="57"/>
      <c r="J1311" s="57"/>
      <c r="K1311" s="57"/>
      <c r="L1311" s="57"/>
      <c r="M1311" s="57"/>
      <c r="N1311" s="58"/>
      <c r="O1311" s="58"/>
      <c r="P1311" s="58"/>
      <c r="Q1311" s="58"/>
      <c r="R1311" s="58"/>
      <c r="S1311" s="58"/>
      <c r="T1311" s="58"/>
      <c r="U1311" s="58"/>
    </row>
    <row r="1312" spans="1:21" s="59" customFormat="1" ht="15.75" x14ac:dyDescent="0.25">
      <c r="A1312" s="321"/>
      <c r="B1312" s="326"/>
      <c r="C1312" s="322" t="s">
        <v>721</v>
      </c>
      <c r="D1312" s="323">
        <v>250000</v>
      </c>
      <c r="E1312" s="323">
        <v>2</v>
      </c>
      <c r="F1312" s="323">
        <v>4</v>
      </c>
      <c r="G1312" s="324">
        <f>D1312*E1312*F1312</f>
        <v>2000000</v>
      </c>
      <c r="H1312" s="252"/>
      <c r="I1312" s="57"/>
      <c r="J1312" s="57"/>
      <c r="K1312" s="57"/>
      <c r="L1312" s="57"/>
      <c r="M1312" s="57"/>
      <c r="N1312" s="58"/>
      <c r="O1312" s="58"/>
      <c r="P1312" s="58"/>
      <c r="Q1312" s="58"/>
      <c r="R1312" s="58"/>
      <c r="S1312" s="58"/>
      <c r="T1312" s="58"/>
      <c r="U1312" s="58"/>
    </row>
    <row r="1313" spans="1:21" s="59" customFormat="1" ht="31.5" x14ac:dyDescent="0.25">
      <c r="A1313" s="321"/>
      <c r="B1313" s="326"/>
      <c r="C1313" s="322" t="s">
        <v>722</v>
      </c>
      <c r="D1313" s="323">
        <v>100000</v>
      </c>
      <c r="E1313" s="323">
        <f>E1312</f>
        <v>2</v>
      </c>
      <c r="F1313" s="323">
        <v>1</v>
      </c>
      <c r="G1313" s="324">
        <f>D1313*E1313*F1313</f>
        <v>200000</v>
      </c>
      <c r="H1313" s="252"/>
      <c r="I1313" s="57"/>
      <c r="J1313" s="57"/>
      <c r="K1313" s="57"/>
      <c r="L1313" s="57"/>
      <c r="M1313" s="57"/>
      <c r="N1313" s="58"/>
      <c r="O1313" s="58"/>
      <c r="P1313" s="58"/>
      <c r="Q1313" s="58"/>
      <c r="R1313" s="58"/>
      <c r="S1313" s="58"/>
      <c r="T1313" s="58"/>
      <c r="U1313" s="58"/>
    </row>
    <row r="1314" spans="1:21" s="59" customFormat="1" ht="12" customHeight="1" x14ac:dyDescent="0.25">
      <c r="A1314" s="321"/>
      <c r="B1314" s="326"/>
      <c r="C1314" s="323" t="s">
        <v>723</v>
      </c>
      <c r="D1314" s="323">
        <v>250000</v>
      </c>
      <c r="E1314" s="323">
        <v>1</v>
      </c>
      <c r="F1314" s="323">
        <v>4</v>
      </c>
      <c r="G1314" s="324">
        <f>D1314*E1314*F1314</f>
        <v>1000000</v>
      </c>
      <c r="H1314" s="252"/>
      <c r="I1314" s="57"/>
      <c r="J1314" s="57"/>
      <c r="K1314" s="57"/>
      <c r="L1314" s="57"/>
      <c r="M1314" s="57"/>
      <c r="N1314" s="58"/>
      <c r="O1314" s="58"/>
      <c r="P1314" s="58"/>
      <c r="Q1314" s="58"/>
      <c r="R1314" s="58"/>
      <c r="S1314" s="58"/>
      <c r="T1314" s="58"/>
      <c r="U1314" s="58"/>
    </row>
    <row r="1315" spans="1:21" s="59" customFormat="1" ht="12" customHeight="1" x14ac:dyDescent="0.25">
      <c r="A1315" s="321"/>
      <c r="B1315" s="326"/>
      <c r="C1315" s="323" t="s">
        <v>724</v>
      </c>
      <c r="D1315" s="323">
        <v>100000</v>
      </c>
      <c r="E1315" s="323">
        <v>1</v>
      </c>
      <c r="F1315" s="323">
        <v>1</v>
      </c>
      <c r="G1315" s="324">
        <f>D1315*E1315*F1315</f>
        <v>100000</v>
      </c>
      <c r="H1315" s="252"/>
      <c r="I1315" s="57"/>
      <c r="J1315" s="57"/>
      <c r="K1315" s="57"/>
      <c r="L1315" s="57"/>
      <c r="M1315" s="57"/>
      <c r="N1315" s="58"/>
      <c r="O1315" s="58"/>
      <c r="P1315" s="58"/>
      <c r="Q1315" s="58"/>
      <c r="R1315" s="58"/>
      <c r="S1315" s="58"/>
      <c r="T1315" s="58"/>
      <c r="U1315" s="58"/>
    </row>
    <row r="1316" spans="1:21" s="59" customFormat="1" ht="31.5" x14ac:dyDescent="0.25">
      <c r="A1316" s="321"/>
      <c r="B1316" s="326"/>
      <c r="C1316" s="337" t="s">
        <v>725</v>
      </c>
      <c r="D1316" s="323">
        <v>35000</v>
      </c>
      <c r="E1316" s="323">
        <v>7</v>
      </c>
      <c r="F1316" s="323">
        <v>4</v>
      </c>
      <c r="G1316" s="324">
        <f t="shared" si="116"/>
        <v>980000</v>
      </c>
      <c r="H1316" s="252"/>
      <c r="I1316" s="57"/>
      <c r="J1316" s="57"/>
      <c r="K1316" s="57"/>
      <c r="L1316" s="57"/>
      <c r="M1316" s="57"/>
      <c r="N1316" s="58"/>
      <c r="O1316" s="58"/>
      <c r="P1316" s="58"/>
      <c r="Q1316" s="58"/>
      <c r="R1316" s="58"/>
      <c r="S1316" s="58"/>
      <c r="T1316" s="58"/>
      <c r="U1316" s="58"/>
    </row>
    <row r="1317" spans="1:21" s="59" customFormat="1" ht="12" customHeight="1" x14ac:dyDescent="0.25">
      <c r="A1317" s="321"/>
      <c r="B1317" s="327"/>
      <c r="C1317" s="323" t="s">
        <v>504</v>
      </c>
      <c r="D1317" s="323">
        <v>1950000</v>
      </c>
      <c r="E1317" s="323">
        <v>1</v>
      </c>
      <c r="F1317" s="323">
        <v>2</v>
      </c>
      <c r="G1317" s="324">
        <f t="shared" si="116"/>
        <v>3900000</v>
      </c>
      <c r="H1317" s="252"/>
      <c r="I1317" s="57"/>
      <c r="J1317" s="57"/>
      <c r="K1317" s="57"/>
      <c r="L1317" s="57"/>
      <c r="M1317" s="57"/>
      <c r="N1317" s="58"/>
      <c r="O1317" s="58"/>
      <c r="P1317" s="58"/>
      <c r="Q1317" s="58"/>
      <c r="R1317" s="58"/>
      <c r="S1317" s="58"/>
      <c r="T1317" s="58"/>
      <c r="U1317" s="58"/>
    </row>
    <row r="1318" spans="1:21" s="59" customFormat="1" ht="12" customHeight="1" x14ac:dyDescent="0.25">
      <c r="A1318" s="321"/>
      <c r="B1318" s="327"/>
      <c r="C1318" s="323" t="s">
        <v>726</v>
      </c>
      <c r="D1318" s="323">
        <f>7500*11</f>
        <v>82500</v>
      </c>
      <c r="E1318" s="323">
        <v>2</v>
      </c>
      <c r="F1318" s="323">
        <v>2</v>
      </c>
      <c r="G1318" s="324">
        <f t="shared" si="116"/>
        <v>330000</v>
      </c>
      <c r="H1318" s="252"/>
      <c r="I1318" s="57"/>
      <c r="J1318" s="57"/>
      <c r="K1318" s="57"/>
      <c r="L1318" s="57"/>
      <c r="M1318" s="57"/>
      <c r="N1318" s="58"/>
      <c r="O1318" s="58"/>
      <c r="P1318" s="58"/>
      <c r="Q1318" s="58"/>
      <c r="R1318" s="58"/>
      <c r="S1318" s="58"/>
      <c r="T1318" s="58"/>
      <c r="U1318" s="58"/>
    </row>
    <row r="1319" spans="1:21" s="59" customFormat="1" ht="12" customHeight="1" x14ac:dyDescent="0.25">
      <c r="A1319" s="321"/>
      <c r="B1319" s="327"/>
      <c r="C1319" s="323" t="s">
        <v>704</v>
      </c>
      <c r="D1319" s="323">
        <f>7500*6.45</f>
        <v>48375</v>
      </c>
      <c r="E1319" s="323">
        <v>2</v>
      </c>
      <c r="F1319" s="323">
        <v>2</v>
      </c>
      <c r="G1319" s="324">
        <f t="shared" si="116"/>
        <v>193500</v>
      </c>
      <c r="H1319" s="252"/>
      <c r="I1319" s="57"/>
      <c r="J1319" s="57"/>
      <c r="K1319" s="57"/>
      <c r="L1319" s="57"/>
      <c r="M1319" s="57"/>
      <c r="N1319" s="58"/>
      <c r="O1319" s="58"/>
      <c r="P1319" s="58"/>
      <c r="Q1319" s="58"/>
      <c r="R1319" s="58"/>
      <c r="S1319" s="58"/>
      <c r="T1319" s="58"/>
      <c r="U1319" s="58"/>
    </row>
    <row r="1320" spans="1:21" s="59" customFormat="1" ht="12" customHeight="1" x14ac:dyDescent="0.25">
      <c r="A1320" s="321"/>
      <c r="B1320" s="327"/>
      <c r="C1320" s="323" t="s">
        <v>727</v>
      </c>
      <c r="D1320" s="323">
        <f>18*7500</f>
        <v>135000</v>
      </c>
      <c r="E1320" s="323">
        <v>1</v>
      </c>
      <c r="F1320" s="323">
        <v>2</v>
      </c>
      <c r="G1320" s="324">
        <f>D1320*E1320*F1320</f>
        <v>270000</v>
      </c>
      <c r="H1320" s="252"/>
      <c r="I1320" s="57"/>
      <c r="J1320" s="57"/>
      <c r="K1320" s="57"/>
      <c r="L1320" s="57"/>
      <c r="M1320" s="57"/>
      <c r="N1320" s="58"/>
      <c r="O1320" s="58"/>
      <c r="P1320" s="58"/>
      <c r="Q1320" s="58"/>
      <c r="R1320" s="58"/>
      <c r="S1320" s="58"/>
      <c r="T1320" s="58"/>
      <c r="U1320" s="58"/>
    </row>
    <row r="1321" spans="1:21" s="59" customFormat="1" ht="11.25" customHeight="1" x14ac:dyDescent="0.25">
      <c r="A1321" s="321"/>
      <c r="B1321" s="327"/>
      <c r="C1321" s="322" t="s">
        <v>231</v>
      </c>
      <c r="D1321" s="323">
        <v>1000000</v>
      </c>
      <c r="E1321" s="323">
        <v>1</v>
      </c>
      <c r="F1321" s="323">
        <v>4</v>
      </c>
      <c r="G1321" s="324">
        <f>D1321*E1321*F1321</f>
        <v>4000000</v>
      </c>
      <c r="H1321" s="252"/>
      <c r="I1321" s="57"/>
      <c r="J1321" s="57"/>
      <c r="K1321" s="57"/>
      <c r="L1321" s="57"/>
      <c r="M1321" s="57"/>
      <c r="N1321" s="58"/>
      <c r="O1321" s="58"/>
      <c r="P1321" s="58"/>
      <c r="Q1321" s="58"/>
      <c r="R1321" s="58"/>
      <c r="S1321" s="58"/>
      <c r="T1321" s="58"/>
      <c r="U1321" s="58"/>
    </row>
    <row r="1322" spans="1:21" s="59" customFormat="1" ht="11.25" customHeight="1" x14ac:dyDescent="0.25">
      <c r="A1322" s="321"/>
      <c r="B1322" s="327"/>
      <c r="C1322" s="322" t="s">
        <v>97</v>
      </c>
      <c r="D1322" s="323">
        <v>40000</v>
      </c>
      <c r="E1322" s="323">
        <f>E1300+E1302+E1304+E1306+E1310+E1316+E1312</f>
        <v>42</v>
      </c>
      <c r="F1322" s="323">
        <v>4</v>
      </c>
      <c r="G1322" s="324">
        <f>D1322*E1322*F1322</f>
        <v>6720000</v>
      </c>
      <c r="H1322" s="252"/>
      <c r="I1322" s="57"/>
      <c r="J1322" s="57"/>
      <c r="K1322" s="57"/>
      <c r="L1322" s="57"/>
      <c r="M1322" s="57"/>
      <c r="N1322" s="58"/>
      <c r="O1322" s="58"/>
      <c r="P1322" s="58"/>
      <c r="Q1322" s="58"/>
      <c r="R1322" s="58"/>
      <c r="S1322" s="58"/>
      <c r="T1322" s="58"/>
      <c r="U1322" s="58"/>
    </row>
    <row r="1323" spans="1:21" s="59" customFormat="1" ht="12" customHeight="1" x14ac:dyDescent="0.25">
      <c r="A1323" s="321"/>
      <c r="B1323" s="327"/>
      <c r="C1323" s="323" t="s">
        <v>60</v>
      </c>
      <c r="D1323" s="323">
        <f>G1323/E1323/F1323</f>
        <v>13664.634146341463</v>
      </c>
      <c r="E1323" s="323">
        <v>41</v>
      </c>
      <c r="F1323" s="323">
        <v>4</v>
      </c>
      <c r="G1323" s="324">
        <v>2241000</v>
      </c>
      <c r="H1323" s="252"/>
      <c r="I1323" s="57"/>
      <c r="J1323" s="57"/>
      <c r="K1323" s="57"/>
      <c r="L1323" s="57"/>
      <c r="M1323" s="57"/>
      <c r="N1323" s="58"/>
      <c r="O1323" s="58"/>
      <c r="P1323" s="58"/>
      <c r="Q1323" s="58"/>
      <c r="R1323" s="58"/>
      <c r="S1323" s="58"/>
      <c r="T1323" s="58"/>
      <c r="U1323" s="58"/>
    </row>
    <row r="1324" spans="1:21" s="59" customFormat="1" ht="12" customHeight="1" x14ac:dyDescent="0.25">
      <c r="A1324" s="321"/>
      <c r="B1324" s="327"/>
      <c r="C1324" s="323" t="s">
        <v>147</v>
      </c>
      <c r="D1324" s="323">
        <f>G1324/E1324/F1324</f>
        <v>156000</v>
      </c>
      <c r="E1324" s="323">
        <v>5</v>
      </c>
      <c r="F1324" s="323">
        <v>4</v>
      </c>
      <c r="G1324" s="324">
        <v>3120000</v>
      </c>
      <c r="H1324" s="252"/>
      <c r="I1324" s="57"/>
      <c r="J1324" s="57"/>
      <c r="K1324" s="57"/>
      <c r="L1324" s="57"/>
      <c r="M1324" s="57"/>
      <c r="N1324" s="58"/>
      <c r="O1324" s="58"/>
      <c r="P1324" s="58"/>
      <c r="Q1324" s="58"/>
      <c r="R1324" s="58"/>
      <c r="S1324" s="58"/>
      <c r="T1324" s="58"/>
      <c r="U1324" s="58"/>
    </row>
    <row r="1325" spans="1:21" s="59" customFormat="1" ht="12" customHeight="1" thickBot="1" x14ac:dyDescent="0.3">
      <c r="A1325" s="321"/>
      <c r="B1325" s="326"/>
      <c r="C1325" s="323"/>
      <c r="D1325" s="323"/>
      <c r="E1325" s="323"/>
      <c r="F1325" s="323"/>
      <c r="G1325" s="324"/>
      <c r="H1325" s="252"/>
      <c r="I1325" s="57"/>
      <c r="J1325" s="57"/>
      <c r="K1325" s="57"/>
      <c r="L1325" s="57"/>
      <c r="M1325" s="57"/>
      <c r="N1325" s="58"/>
      <c r="O1325" s="58"/>
      <c r="P1325" s="58"/>
      <c r="Q1325" s="58"/>
      <c r="R1325" s="58"/>
      <c r="S1325" s="58"/>
      <c r="T1325" s="58"/>
      <c r="U1325" s="58"/>
    </row>
    <row r="1326" spans="1:21" s="59" customFormat="1" ht="12" customHeight="1" thickBot="1" x14ac:dyDescent="0.3">
      <c r="A1326" s="321"/>
      <c r="B1326" s="326"/>
      <c r="C1326" s="328" t="s">
        <v>140</v>
      </c>
      <c r="D1326" s="328"/>
      <c r="E1326" s="328"/>
      <c r="F1326" s="328"/>
      <c r="G1326" s="329">
        <f>SUM(G1299:G1325)</f>
        <v>63784500</v>
      </c>
      <c r="H1326" s="253">
        <f>G1326/8136</f>
        <v>7839.7861356932153</v>
      </c>
      <c r="I1326" s="57"/>
      <c r="J1326" s="57"/>
      <c r="K1326" s="57"/>
      <c r="L1326" s="57"/>
      <c r="M1326" s="57"/>
      <c r="N1326" s="58"/>
      <c r="O1326" s="58"/>
      <c r="P1326" s="58"/>
      <c r="Q1326" s="58"/>
      <c r="R1326" s="58"/>
      <c r="S1326" s="58"/>
      <c r="T1326" s="58"/>
      <c r="U1326" s="58"/>
    </row>
    <row r="1327" spans="1:21" s="59" customFormat="1" ht="12" customHeight="1" x14ac:dyDescent="0.25">
      <c r="A1327" s="321"/>
      <c r="B1327" s="326"/>
      <c r="C1327" s="323"/>
      <c r="D1327" s="323"/>
      <c r="E1327" s="323"/>
      <c r="F1327" s="323"/>
      <c r="G1327" s="324"/>
      <c r="H1327" s="252"/>
      <c r="I1327" s="57"/>
      <c r="J1327" s="57"/>
      <c r="K1327" s="57"/>
      <c r="L1327" s="57"/>
      <c r="M1327" s="57"/>
      <c r="N1327" s="58"/>
      <c r="O1327" s="58"/>
      <c r="P1327" s="58"/>
      <c r="Q1327" s="58"/>
      <c r="R1327" s="58"/>
      <c r="S1327" s="58"/>
      <c r="T1327" s="58"/>
      <c r="U1327" s="58"/>
    </row>
    <row r="1328" spans="1:21" s="59" customFormat="1" ht="12" customHeight="1" thickBot="1" x14ac:dyDescent="0.3">
      <c r="A1328" s="331"/>
      <c r="B1328" s="332"/>
      <c r="C1328" s="332"/>
      <c r="D1328" s="333"/>
      <c r="E1328" s="333"/>
      <c r="F1328" s="334"/>
      <c r="G1328" s="335"/>
      <c r="H1328" s="252"/>
      <c r="I1328" s="57"/>
      <c r="J1328" s="57"/>
      <c r="K1328" s="57"/>
      <c r="L1328" s="57"/>
      <c r="M1328" s="57"/>
      <c r="N1328" s="58"/>
      <c r="O1328" s="58"/>
      <c r="P1328" s="58"/>
      <c r="Q1328" s="58"/>
      <c r="R1328" s="58"/>
      <c r="S1328" s="58"/>
      <c r="T1328" s="58"/>
      <c r="U1328" s="58"/>
    </row>
    <row r="1329" spans="4:9" s="57" customFormat="1" ht="12" x14ac:dyDescent="0.25">
      <c r="H1329" s="84"/>
    </row>
    <row r="1330" spans="4:9" s="57" customFormat="1" ht="12" x14ac:dyDescent="0.25">
      <c r="H1330" s="339">
        <f>H1326+H1295+H1259+H1219+H1187</f>
        <v>51524.029006882993</v>
      </c>
      <c r="I1330" s="57" t="s">
        <v>728</v>
      </c>
    </row>
    <row r="1331" spans="4:9" s="57" customFormat="1" ht="12" x14ac:dyDescent="0.25">
      <c r="H1331" s="55"/>
    </row>
    <row r="1332" spans="4:9" x14ac:dyDescent="0.25">
      <c r="H1332" s="48"/>
    </row>
    <row r="1334" spans="4:9" ht="15" x14ac:dyDescent="0.25">
      <c r="D1334" s="340" t="s">
        <v>729</v>
      </c>
      <c r="E1334" s="340"/>
      <c r="F1334" s="340"/>
      <c r="G1334" s="340"/>
      <c r="H1334" s="341">
        <f>H1326+H1295+H1259+H1219+H1187+H1152+H1125+H1116+H1063+H1041+H1034+H1026+H1008+H989+H980+H962+H893+H862+H826+H786+H727+H716+H680+H630+H590+H586+H576+H561+H533+H528+H516+H501+H496+H489+H482+H461+H405+H396+H387+H378+H323+H309+H295+H240+H184+H176+H164+H135+H101+H70+H37+H19</f>
        <v>462032.93993772543</v>
      </c>
    </row>
  </sheetData>
  <mergeCells count="24">
    <mergeCell ref="B1299:B1301"/>
    <mergeCell ref="B984:B985"/>
    <mergeCell ref="B993:B994"/>
    <mergeCell ref="B1012:B1013"/>
    <mergeCell ref="B1037:B1038"/>
    <mergeCell ref="B1044:B1046"/>
    <mergeCell ref="B1120:B1121"/>
    <mergeCell ref="B1128:B1130"/>
    <mergeCell ref="B1159:B1160"/>
    <mergeCell ref="B1191:B1192"/>
    <mergeCell ref="B1223:B1226"/>
    <mergeCell ref="B1263:B1266"/>
    <mergeCell ref="B966:B968"/>
    <mergeCell ref="B39:C39"/>
    <mergeCell ref="A167:G167"/>
    <mergeCell ref="A168:A169"/>
    <mergeCell ref="B168:G168"/>
    <mergeCell ref="B169:G169"/>
    <mergeCell ref="B732:B735"/>
    <mergeCell ref="B790:B793"/>
    <mergeCell ref="B830:B833"/>
    <mergeCell ref="B866:B869"/>
    <mergeCell ref="D896:G896"/>
    <mergeCell ref="B897:B898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869"/>
  <sheetViews>
    <sheetView topLeftCell="A836" workbookViewId="0">
      <selection activeCell="H866" sqref="H866"/>
    </sheetView>
  </sheetViews>
  <sheetFormatPr defaultColWidth="8.85546875" defaultRowHeight="12" x14ac:dyDescent="0.25"/>
  <cols>
    <col min="1" max="1" width="10.140625" style="519" customWidth="1"/>
    <col min="2" max="2" width="30.28515625" style="57" customWidth="1"/>
    <col min="3" max="3" width="47.7109375" style="57" customWidth="1"/>
    <col min="4" max="4" width="11.28515625" style="57" customWidth="1"/>
    <col min="5" max="5" width="12" style="57" bestFit="1" customWidth="1"/>
    <col min="6" max="6" width="16.7109375" style="57" customWidth="1"/>
    <col min="7" max="7" width="26.7109375" style="521" customWidth="1"/>
    <col min="8" max="8" width="19.28515625" style="55" customWidth="1"/>
    <col min="9" max="9" width="13.28515625" style="56" customWidth="1"/>
    <col min="10" max="10" width="11.140625" style="56" customWidth="1"/>
    <col min="11" max="16384" width="8.85546875" style="57"/>
  </cols>
  <sheetData>
    <row r="1" spans="1:21" customFormat="1" ht="15" x14ac:dyDescent="0.25">
      <c r="A1" s="768" t="s">
        <v>730</v>
      </c>
      <c r="B1" s="768"/>
      <c r="C1" s="768"/>
      <c r="D1" s="768"/>
      <c r="E1" s="768"/>
      <c r="F1" s="522" t="s">
        <v>34</v>
      </c>
      <c r="G1" s="523">
        <v>8136</v>
      </c>
      <c r="H1" s="342"/>
      <c r="I1" s="343"/>
      <c r="J1" s="343"/>
      <c r="K1" s="344"/>
      <c r="L1" s="344"/>
      <c r="M1" s="344"/>
      <c r="N1" s="224"/>
      <c r="O1" s="224"/>
      <c r="P1" s="224"/>
      <c r="Q1" s="224"/>
      <c r="R1" s="224"/>
      <c r="S1" s="224"/>
      <c r="T1" s="224"/>
      <c r="U1" s="224"/>
    </row>
    <row r="2" spans="1:21" customFormat="1" ht="15" x14ac:dyDescent="0.25">
      <c r="A2" s="769" t="s">
        <v>731</v>
      </c>
      <c r="B2" s="769"/>
      <c r="C2" s="769"/>
      <c r="D2" s="345"/>
      <c r="E2" s="345"/>
      <c r="F2" s="346"/>
      <c r="G2" s="347"/>
      <c r="H2" s="342"/>
      <c r="I2" s="343"/>
      <c r="J2" s="343"/>
      <c r="K2" s="344"/>
      <c r="L2" s="344"/>
      <c r="M2" s="344"/>
      <c r="N2" s="224"/>
      <c r="O2" s="224"/>
      <c r="P2" s="224"/>
      <c r="Q2" s="224"/>
      <c r="R2" s="224"/>
      <c r="S2" s="224"/>
      <c r="T2" s="224"/>
      <c r="U2" s="224"/>
    </row>
    <row r="3" spans="1:21" customFormat="1" ht="15" x14ac:dyDescent="0.25">
      <c r="A3" s="348" t="s">
        <v>35</v>
      </c>
      <c r="B3" s="349" t="s">
        <v>7</v>
      </c>
      <c r="C3" s="348"/>
      <c r="D3" s="348"/>
      <c r="E3" s="348"/>
      <c r="F3" s="350"/>
      <c r="G3" s="351"/>
      <c r="H3" s="342"/>
      <c r="I3" s="343"/>
      <c r="J3" s="343"/>
      <c r="K3" s="344"/>
      <c r="L3" s="344"/>
      <c r="M3" s="344"/>
      <c r="N3" s="224"/>
      <c r="O3" s="224"/>
      <c r="P3" s="224"/>
      <c r="Q3" s="224"/>
      <c r="R3" s="224"/>
      <c r="S3" s="224"/>
      <c r="T3" s="224"/>
      <c r="U3" s="224"/>
    </row>
    <row r="4" spans="1:21" s="356" customFormat="1" ht="15" x14ac:dyDescent="0.25">
      <c r="A4" s="352" t="s">
        <v>732</v>
      </c>
      <c r="B4" s="353" t="s">
        <v>733</v>
      </c>
      <c r="C4" s="353"/>
      <c r="D4" s="353"/>
      <c r="E4" s="353"/>
      <c r="F4" s="353"/>
      <c r="G4" s="354"/>
      <c r="H4" s="353">
        <f>SUM(H11:H654)</f>
        <v>126017.76614880368</v>
      </c>
      <c r="I4" s="355"/>
    </row>
    <row r="5" spans="1:21" s="361" customFormat="1" ht="23.25" thickBot="1" x14ac:dyDescent="0.3">
      <c r="A5" s="357" t="s">
        <v>734</v>
      </c>
      <c r="B5" s="358" t="s">
        <v>735</v>
      </c>
      <c r="C5" s="358" t="s">
        <v>736</v>
      </c>
      <c r="D5" s="358" t="s">
        <v>737</v>
      </c>
      <c r="E5" s="358" t="s">
        <v>738</v>
      </c>
      <c r="F5" s="358" t="s">
        <v>739</v>
      </c>
      <c r="G5" s="359" t="s">
        <v>740</v>
      </c>
      <c r="H5" s="360"/>
      <c r="I5" s="360"/>
      <c r="K5" s="362"/>
      <c r="L5" s="362"/>
      <c r="M5" s="362"/>
      <c r="N5" s="363"/>
      <c r="O5" s="363"/>
      <c r="P5" s="363"/>
      <c r="Q5" s="363"/>
      <c r="R5" s="363"/>
      <c r="S5" s="363"/>
      <c r="T5" s="363"/>
      <c r="U5" s="363"/>
    </row>
    <row r="6" spans="1:21" s="370" customFormat="1" x14ac:dyDescent="0.25">
      <c r="A6" s="364" t="s">
        <v>35</v>
      </c>
      <c r="B6" s="365" t="s">
        <v>741</v>
      </c>
      <c r="C6" s="365"/>
      <c r="D6" s="366"/>
      <c r="E6" s="366"/>
      <c r="F6" s="366"/>
      <c r="G6" s="367"/>
      <c r="H6" s="368"/>
      <c r="I6" s="369"/>
      <c r="J6" s="369"/>
    </row>
    <row r="7" spans="1:21" s="370" customFormat="1" x14ac:dyDescent="0.25">
      <c r="A7" s="371"/>
      <c r="B7" s="370" t="s">
        <v>742</v>
      </c>
      <c r="G7" s="372"/>
      <c r="H7" s="368"/>
      <c r="I7" s="369"/>
      <c r="J7" s="373"/>
    </row>
    <row r="8" spans="1:21" s="370" customFormat="1" x14ac:dyDescent="0.25">
      <c r="A8" s="371"/>
      <c r="C8" s="370" t="s">
        <v>231</v>
      </c>
      <c r="G8" s="372"/>
      <c r="H8" s="368"/>
      <c r="I8" s="369"/>
      <c r="J8" s="373"/>
    </row>
    <row r="9" spans="1:21" s="370" customFormat="1" x14ac:dyDescent="0.25">
      <c r="A9" s="371"/>
      <c r="C9" s="370" t="s">
        <v>97</v>
      </c>
      <c r="D9" s="370">
        <v>20000</v>
      </c>
      <c r="E9" s="370">
        <v>30</v>
      </c>
      <c r="F9" s="370">
        <v>9</v>
      </c>
      <c r="G9" s="372">
        <v>5400000</v>
      </c>
      <c r="H9" s="368"/>
      <c r="I9" s="369"/>
      <c r="J9" s="369"/>
    </row>
    <row r="10" spans="1:21" s="370" customFormat="1" ht="12.75" thickBot="1" x14ac:dyDescent="0.3">
      <c r="A10" s="371"/>
      <c r="G10" s="372"/>
      <c r="H10" s="368"/>
      <c r="I10" s="369"/>
      <c r="J10" s="369"/>
    </row>
    <row r="11" spans="1:21" s="370" customFormat="1" ht="12.75" thickBot="1" x14ac:dyDescent="0.3">
      <c r="A11" s="371"/>
      <c r="C11" s="370" t="s">
        <v>140</v>
      </c>
      <c r="G11" s="374">
        <v>5400000</v>
      </c>
      <c r="H11" s="373">
        <f>G11/8136</f>
        <v>663.71681415929208</v>
      </c>
      <c r="I11" s="369"/>
      <c r="J11" s="369"/>
    </row>
    <row r="12" spans="1:21" s="370" customFormat="1" x14ac:dyDescent="0.25">
      <c r="A12" s="371"/>
      <c r="G12" s="372"/>
      <c r="H12" s="373"/>
      <c r="I12" s="369"/>
      <c r="J12" s="369"/>
    </row>
    <row r="13" spans="1:21" s="370" customFormat="1" x14ac:dyDescent="0.25">
      <c r="A13" s="364" t="s">
        <v>65</v>
      </c>
      <c r="B13" s="365" t="s">
        <v>743</v>
      </c>
      <c r="C13" s="365"/>
      <c r="D13" s="366"/>
      <c r="E13" s="366"/>
      <c r="F13" s="366"/>
      <c r="G13" s="367"/>
      <c r="H13" s="373"/>
      <c r="I13" s="369"/>
      <c r="J13" s="369"/>
    </row>
    <row r="14" spans="1:21" s="370" customFormat="1" x14ac:dyDescent="0.25">
      <c r="A14" s="371"/>
      <c r="B14" s="370" t="s">
        <v>208</v>
      </c>
      <c r="C14" s="370" t="s">
        <v>371</v>
      </c>
      <c r="D14" s="370">
        <v>50000</v>
      </c>
      <c r="E14" s="370">
        <v>10</v>
      </c>
      <c r="F14" s="370">
        <v>3</v>
      </c>
      <c r="G14" s="372">
        <v>1500000</v>
      </c>
      <c r="H14" s="373"/>
      <c r="I14" s="369"/>
      <c r="J14" s="369"/>
    </row>
    <row r="15" spans="1:21" s="370" customFormat="1" x14ac:dyDescent="0.25">
      <c r="A15" s="371"/>
      <c r="C15" s="370" t="s">
        <v>567</v>
      </c>
      <c r="D15" s="370">
        <v>240000</v>
      </c>
      <c r="E15" s="370">
        <v>1</v>
      </c>
      <c r="F15" s="370">
        <v>3</v>
      </c>
      <c r="G15" s="372">
        <v>720000</v>
      </c>
      <c r="H15" s="373"/>
      <c r="I15" s="369"/>
      <c r="J15" s="369"/>
    </row>
    <row r="16" spans="1:21" s="370" customFormat="1" x14ac:dyDescent="0.25">
      <c r="A16" s="371"/>
      <c r="C16" s="370" t="s">
        <v>60</v>
      </c>
      <c r="D16" s="370">
        <v>20000</v>
      </c>
      <c r="E16" s="370">
        <v>10</v>
      </c>
      <c r="F16" s="370">
        <v>1</v>
      </c>
      <c r="G16" s="372">
        <v>200000</v>
      </c>
      <c r="H16" s="373"/>
      <c r="I16" s="369"/>
      <c r="J16" s="369"/>
    </row>
    <row r="17" spans="1:10" s="370" customFormat="1" ht="12.75" thickBot="1" x14ac:dyDescent="0.3">
      <c r="A17" s="371"/>
      <c r="G17" s="372"/>
      <c r="H17" s="373"/>
      <c r="I17" s="369"/>
      <c r="J17" s="369"/>
    </row>
    <row r="18" spans="1:10" s="370" customFormat="1" ht="12.75" thickBot="1" x14ac:dyDescent="0.3">
      <c r="A18" s="371"/>
      <c r="C18" s="370" t="s">
        <v>140</v>
      </c>
      <c r="G18" s="374">
        <v>2420000</v>
      </c>
      <c r="H18" s="373">
        <f>G18/8136</f>
        <v>297.44346116027532</v>
      </c>
      <c r="I18" s="369"/>
      <c r="J18" s="369"/>
    </row>
    <row r="19" spans="1:10" s="366" customFormat="1" ht="24" x14ac:dyDescent="0.25">
      <c r="A19" s="364" t="s">
        <v>105</v>
      </c>
      <c r="B19" s="375" t="s">
        <v>744</v>
      </c>
      <c r="C19" s="365"/>
      <c r="G19" s="367"/>
      <c r="H19" s="373"/>
      <c r="I19" s="376"/>
      <c r="J19" s="376"/>
    </row>
    <row r="20" spans="1:10" s="370" customFormat="1" x14ac:dyDescent="0.25">
      <c r="A20" s="377"/>
      <c r="C20" s="370" t="s">
        <v>39</v>
      </c>
      <c r="D20" s="370">
        <v>150000</v>
      </c>
      <c r="E20" s="370">
        <v>1</v>
      </c>
      <c r="F20" s="370">
        <v>1</v>
      </c>
      <c r="G20" s="372">
        <v>150000</v>
      </c>
      <c r="H20" s="368"/>
      <c r="I20" s="369"/>
      <c r="J20" s="369"/>
    </row>
    <row r="21" spans="1:10" s="370" customFormat="1" x14ac:dyDescent="0.25">
      <c r="A21" s="371"/>
      <c r="B21" s="370" t="s">
        <v>745</v>
      </c>
      <c r="C21" s="370" t="s">
        <v>445</v>
      </c>
      <c r="D21" s="370">
        <v>270000</v>
      </c>
      <c r="E21" s="370">
        <v>1</v>
      </c>
      <c r="F21" s="370">
        <v>5</v>
      </c>
      <c r="G21" s="372">
        <v>1350000</v>
      </c>
      <c r="H21" s="368"/>
      <c r="I21" s="369"/>
      <c r="J21" s="369"/>
    </row>
    <row r="22" spans="1:10" s="370" customFormat="1" x14ac:dyDescent="0.25">
      <c r="A22" s="371"/>
      <c r="B22" s="370" t="s">
        <v>746</v>
      </c>
      <c r="C22" s="370" t="s">
        <v>446</v>
      </c>
      <c r="D22" s="370">
        <v>100000</v>
      </c>
      <c r="E22" s="370">
        <v>1</v>
      </c>
      <c r="F22" s="370">
        <v>1</v>
      </c>
      <c r="G22" s="372">
        <v>100000</v>
      </c>
      <c r="H22" s="368"/>
      <c r="I22" s="369"/>
      <c r="J22" s="369"/>
    </row>
    <row r="23" spans="1:10" s="370" customFormat="1" x14ac:dyDescent="0.25">
      <c r="A23" s="371"/>
      <c r="B23" s="370" t="s">
        <v>747</v>
      </c>
      <c r="C23" s="370" t="s">
        <v>748</v>
      </c>
      <c r="D23" s="370">
        <v>250000</v>
      </c>
      <c r="E23" s="370">
        <v>17</v>
      </c>
      <c r="F23" s="370">
        <v>5</v>
      </c>
      <c r="G23" s="372">
        <v>21250000</v>
      </c>
      <c r="H23" s="368"/>
      <c r="I23" s="369"/>
      <c r="J23" s="369"/>
    </row>
    <row r="24" spans="1:10" s="370" customFormat="1" x14ac:dyDescent="0.25">
      <c r="A24" s="371"/>
      <c r="C24" s="370" t="s">
        <v>749</v>
      </c>
      <c r="D24" s="370">
        <v>100000</v>
      </c>
      <c r="E24" s="370">
        <v>17</v>
      </c>
      <c r="F24" s="370">
        <v>1</v>
      </c>
      <c r="G24" s="372">
        <v>1700000</v>
      </c>
      <c r="H24" s="368"/>
      <c r="I24" s="369"/>
      <c r="J24" s="369"/>
    </row>
    <row r="25" spans="1:10" s="370" customFormat="1" x14ac:dyDescent="0.25">
      <c r="A25" s="371"/>
      <c r="C25" s="370" t="s">
        <v>750</v>
      </c>
      <c r="D25" s="370">
        <v>250000</v>
      </c>
      <c r="E25" s="370">
        <v>3</v>
      </c>
      <c r="F25" s="370">
        <v>5</v>
      </c>
      <c r="G25" s="372">
        <v>3750000</v>
      </c>
      <c r="H25" s="368"/>
      <c r="I25" s="369"/>
      <c r="J25" s="369"/>
    </row>
    <row r="26" spans="1:10" s="370" customFormat="1" x14ac:dyDescent="0.25">
      <c r="A26" s="371"/>
      <c r="C26" s="370" t="s">
        <v>751</v>
      </c>
      <c r="D26" s="370">
        <v>100000</v>
      </c>
      <c r="E26" s="370">
        <v>3</v>
      </c>
      <c r="F26" s="370">
        <v>1</v>
      </c>
      <c r="G26" s="372">
        <v>300000</v>
      </c>
      <c r="H26" s="368"/>
      <c r="I26" s="369"/>
      <c r="J26" s="369"/>
    </row>
    <row r="27" spans="1:10" s="370" customFormat="1" x14ac:dyDescent="0.25">
      <c r="A27" s="371"/>
      <c r="C27" s="370" t="s">
        <v>752</v>
      </c>
      <c r="D27" s="370">
        <v>250000</v>
      </c>
      <c r="E27" s="370">
        <v>20</v>
      </c>
      <c r="F27" s="370">
        <v>5</v>
      </c>
      <c r="G27" s="372">
        <v>25000000</v>
      </c>
      <c r="H27" s="368"/>
      <c r="I27" s="369"/>
      <c r="J27" s="369"/>
    </row>
    <row r="28" spans="1:10" s="370" customFormat="1" x14ac:dyDescent="0.25">
      <c r="A28" s="371"/>
      <c r="C28" s="370" t="s">
        <v>753</v>
      </c>
      <c r="D28" s="370">
        <v>100000</v>
      </c>
      <c r="E28" s="370">
        <v>20</v>
      </c>
      <c r="F28" s="370">
        <v>1</v>
      </c>
      <c r="G28" s="372">
        <v>2000000</v>
      </c>
      <c r="H28" s="368"/>
      <c r="I28" s="369"/>
      <c r="J28" s="369"/>
    </row>
    <row r="29" spans="1:10" s="370" customFormat="1" x14ac:dyDescent="0.25">
      <c r="A29" s="371"/>
      <c r="C29" s="370" t="s">
        <v>57</v>
      </c>
      <c r="D29" s="370">
        <v>40000</v>
      </c>
      <c r="E29" s="370">
        <v>7</v>
      </c>
      <c r="F29" s="370">
        <v>5</v>
      </c>
      <c r="G29" s="372">
        <v>1400000</v>
      </c>
      <c r="H29" s="368"/>
      <c r="I29" s="369"/>
      <c r="J29" s="369"/>
    </row>
    <row r="30" spans="1:10" s="370" customFormat="1" x14ac:dyDescent="0.25">
      <c r="A30" s="371"/>
      <c r="C30" s="370" t="s">
        <v>59</v>
      </c>
      <c r="D30" s="370">
        <v>50000</v>
      </c>
      <c r="E30" s="370">
        <v>35</v>
      </c>
      <c r="F30" s="370">
        <v>1</v>
      </c>
      <c r="G30" s="372">
        <v>1750000</v>
      </c>
      <c r="H30" s="368"/>
      <c r="I30" s="369"/>
      <c r="J30" s="369"/>
    </row>
    <row r="31" spans="1:10" s="370" customFormat="1" x14ac:dyDescent="0.25">
      <c r="A31" s="371"/>
      <c r="C31" s="370" t="s">
        <v>754</v>
      </c>
      <c r="D31" s="370">
        <v>1200000</v>
      </c>
      <c r="E31" s="370">
        <v>1</v>
      </c>
      <c r="F31" s="370">
        <v>2</v>
      </c>
      <c r="G31" s="372">
        <v>2400000</v>
      </c>
      <c r="H31" s="368"/>
      <c r="I31" s="369"/>
      <c r="J31" s="369"/>
    </row>
    <row r="32" spans="1:10" s="370" customFormat="1" x14ac:dyDescent="0.25">
      <c r="A32" s="371"/>
      <c r="C32" s="370" t="s">
        <v>755</v>
      </c>
      <c r="D32" s="370">
        <v>192000</v>
      </c>
      <c r="E32" s="370">
        <v>3</v>
      </c>
      <c r="F32" s="370">
        <v>1</v>
      </c>
      <c r="G32" s="372">
        <v>576000</v>
      </c>
      <c r="H32" s="368"/>
      <c r="I32" s="369"/>
      <c r="J32" s="369"/>
    </row>
    <row r="33" spans="1:10" s="370" customFormat="1" x14ac:dyDescent="0.25">
      <c r="A33" s="371"/>
      <c r="C33" s="370" t="s">
        <v>567</v>
      </c>
      <c r="D33" s="370">
        <v>400000</v>
      </c>
      <c r="E33" s="370">
        <v>1</v>
      </c>
      <c r="F33" s="370">
        <v>3</v>
      </c>
      <c r="G33" s="372">
        <v>1200000</v>
      </c>
      <c r="H33" s="368"/>
      <c r="I33" s="369"/>
      <c r="J33" s="369"/>
    </row>
    <row r="34" spans="1:10" s="370" customFormat="1" x14ac:dyDescent="0.25">
      <c r="A34" s="371"/>
      <c r="C34" s="370" t="s">
        <v>231</v>
      </c>
      <c r="D34" s="370">
        <v>1000000</v>
      </c>
      <c r="E34" s="370">
        <v>1</v>
      </c>
      <c r="F34" s="370">
        <v>5</v>
      </c>
      <c r="G34" s="372">
        <v>5000000</v>
      </c>
      <c r="H34" s="368"/>
      <c r="I34" s="369"/>
      <c r="J34" s="369"/>
    </row>
    <row r="35" spans="1:10" s="370" customFormat="1" x14ac:dyDescent="0.25">
      <c r="A35" s="371"/>
      <c r="C35" s="370" t="s">
        <v>97</v>
      </c>
      <c r="D35" s="370">
        <v>20000</v>
      </c>
      <c r="E35" s="370">
        <v>38</v>
      </c>
      <c r="F35" s="370">
        <v>5</v>
      </c>
      <c r="G35" s="372">
        <v>3800000</v>
      </c>
      <c r="H35" s="368"/>
      <c r="I35" s="369"/>
      <c r="J35" s="369"/>
    </row>
    <row r="36" spans="1:10" s="370" customFormat="1" x14ac:dyDescent="0.25">
      <c r="A36" s="371"/>
      <c r="C36" s="370" t="s">
        <v>756</v>
      </c>
      <c r="D36" s="370">
        <v>400000</v>
      </c>
      <c r="E36" s="370">
        <v>1</v>
      </c>
      <c r="F36" s="370">
        <v>1</v>
      </c>
      <c r="G36" s="372">
        <v>400000</v>
      </c>
      <c r="H36" s="368"/>
      <c r="I36" s="369"/>
      <c r="J36" s="369"/>
    </row>
    <row r="37" spans="1:10" s="370" customFormat="1" x14ac:dyDescent="0.25">
      <c r="A37" s="371"/>
      <c r="C37" s="370" t="s">
        <v>60</v>
      </c>
      <c r="E37" s="370">
        <v>38</v>
      </c>
      <c r="F37" s="370">
        <v>1</v>
      </c>
      <c r="G37" s="372">
        <v>964000</v>
      </c>
      <c r="H37" s="368"/>
      <c r="I37" s="369"/>
      <c r="J37" s="369"/>
    </row>
    <row r="38" spans="1:10" s="370" customFormat="1" ht="12.75" thickBot="1" x14ac:dyDescent="0.3">
      <c r="A38" s="371"/>
      <c r="G38" s="372"/>
      <c r="H38" s="368"/>
      <c r="I38" s="369"/>
      <c r="J38" s="369"/>
    </row>
    <row r="39" spans="1:10" s="370" customFormat="1" ht="12.75" thickBot="1" x14ac:dyDescent="0.3">
      <c r="A39" s="371"/>
      <c r="C39" s="370" t="s">
        <v>140</v>
      </c>
      <c r="G39" s="374">
        <v>73090000</v>
      </c>
      <c r="H39" s="373">
        <f>G39/8136</f>
        <v>8983.5299901671588</v>
      </c>
      <c r="I39" s="369"/>
      <c r="J39" s="369"/>
    </row>
    <row r="40" spans="1:10" s="370" customFormat="1" x14ac:dyDescent="0.25">
      <c r="A40" s="371"/>
      <c r="G40" s="372"/>
      <c r="H40" s="368"/>
      <c r="I40" s="369"/>
      <c r="J40" s="369"/>
    </row>
    <row r="41" spans="1:10" s="366" customFormat="1" x14ac:dyDescent="0.25">
      <c r="A41" s="364" t="s">
        <v>757</v>
      </c>
      <c r="B41" s="770" t="s">
        <v>758</v>
      </c>
      <c r="C41" s="770"/>
      <c r="D41" s="365"/>
      <c r="E41" s="365"/>
      <c r="F41" s="365"/>
      <c r="G41" s="378"/>
      <c r="H41" s="373"/>
      <c r="I41" s="376"/>
      <c r="J41" s="376"/>
    </row>
    <row r="42" spans="1:10" s="366" customFormat="1" x14ac:dyDescent="0.25">
      <c r="A42" s="379"/>
      <c r="G42" s="367"/>
      <c r="H42" s="373"/>
      <c r="I42" s="376"/>
      <c r="J42" s="376"/>
    </row>
    <row r="43" spans="1:10" s="370" customFormat="1" x14ac:dyDescent="0.25">
      <c r="A43" s="380">
        <v>4.0999999999999996</v>
      </c>
      <c r="B43" s="381" t="s">
        <v>759</v>
      </c>
      <c r="C43" s="370" t="s">
        <v>760</v>
      </c>
      <c r="D43" s="370">
        <v>270000</v>
      </c>
      <c r="E43" s="370">
        <v>1</v>
      </c>
      <c r="F43" s="370">
        <v>4</v>
      </c>
      <c r="G43" s="372">
        <v>1080000</v>
      </c>
      <c r="H43" s="368"/>
      <c r="I43" s="369"/>
      <c r="J43" s="369"/>
    </row>
    <row r="44" spans="1:10" s="370" customFormat="1" x14ac:dyDescent="0.25">
      <c r="A44" s="371"/>
      <c r="C44" s="370" t="s">
        <v>761</v>
      </c>
      <c r="D44" s="370">
        <v>100000</v>
      </c>
      <c r="E44" s="370">
        <v>1</v>
      </c>
      <c r="F44" s="370">
        <v>1</v>
      </c>
      <c r="G44" s="372">
        <v>100000</v>
      </c>
      <c r="H44" s="368"/>
      <c r="I44" s="369"/>
      <c r="J44" s="369"/>
    </row>
    <row r="45" spans="1:10" s="370" customFormat="1" x14ac:dyDescent="0.25">
      <c r="A45" s="371"/>
      <c r="C45" s="370" t="s">
        <v>762</v>
      </c>
      <c r="D45" s="370">
        <v>250000</v>
      </c>
      <c r="E45" s="370">
        <v>4</v>
      </c>
      <c r="F45" s="370">
        <v>4</v>
      </c>
      <c r="G45" s="372">
        <v>4000000</v>
      </c>
      <c r="H45" s="368"/>
      <c r="I45" s="369"/>
      <c r="J45" s="369"/>
    </row>
    <row r="46" spans="1:10" s="370" customFormat="1" x14ac:dyDescent="0.25">
      <c r="A46" s="371"/>
      <c r="C46" s="370" t="s">
        <v>763</v>
      </c>
      <c r="D46" s="370">
        <v>100000</v>
      </c>
      <c r="E46" s="370">
        <v>4</v>
      </c>
      <c r="F46" s="370">
        <v>1</v>
      </c>
      <c r="G46" s="372">
        <v>400000</v>
      </c>
      <c r="H46" s="368"/>
      <c r="I46" s="369"/>
      <c r="J46" s="369"/>
    </row>
    <row r="47" spans="1:10" s="370" customFormat="1" x14ac:dyDescent="0.25">
      <c r="A47" s="371"/>
      <c r="C47" s="370" t="s">
        <v>764</v>
      </c>
      <c r="D47" s="370">
        <v>50000</v>
      </c>
      <c r="E47" s="370">
        <v>4</v>
      </c>
      <c r="F47" s="370">
        <v>3</v>
      </c>
      <c r="G47" s="372">
        <v>600000</v>
      </c>
      <c r="H47" s="368"/>
      <c r="I47" s="369"/>
      <c r="J47" s="369"/>
    </row>
    <row r="48" spans="1:10" s="370" customFormat="1" x14ac:dyDescent="0.25">
      <c r="A48" s="371"/>
      <c r="C48" s="370" t="s">
        <v>536</v>
      </c>
      <c r="D48" s="370">
        <v>1500000</v>
      </c>
      <c r="E48" s="370">
        <v>5</v>
      </c>
      <c r="F48" s="370">
        <v>1</v>
      </c>
      <c r="G48" s="372">
        <v>7500000</v>
      </c>
      <c r="H48" s="368"/>
      <c r="I48" s="369"/>
      <c r="J48" s="369"/>
    </row>
    <row r="49" spans="1:10" s="370" customFormat="1" x14ac:dyDescent="0.25">
      <c r="A49" s="371"/>
      <c r="C49" s="370" t="s">
        <v>527</v>
      </c>
      <c r="D49" s="370">
        <v>25000</v>
      </c>
      <c r="E49" s="370">
        <v>5</v>
      </c>
      <c r="F49" s="370">
        <v>2</v>
      </c>
      <c r="G49" s="372">
        <v>250000</v>
      </c>
      <c r="H49" s="368"/>
      <c r="I49" s="369"/>
      <c r="J49" s="369"/>
    </row>
    <row r="50" spans="1:10" s="370" customFormat="1" x14ac:dyDescent="0.25">
      <c r="A50" s="371"/>
      <c r="C50" s="370" t="s">
        <v>567</v>
      </c>
      <c r="D50" s="370">
        <v>160000</v>
      </c>
      <c r="E50" s="370">
        <v>1</v>
      </c>
      <c r="F50" s="370">
        <v>3</v>
      </c>
      <c r="G50" s="372">
        <v>480000</v>
      </c>
      <c r="H50" s="368"/>
      <c r="I50" s="369"/>
      <c r="J50" s="369"/>
    </row>
    <row r="51" spans="1:10" s="370" customFormat="1" x14ac:dyDescent="0.25">
      <c r="A51" s="371"/>
      <c r="G51" s="372"/>
      <c r="H51" s="368"/>
      <c r="I51" s="369"/>
      <c r="J51" s="369"/>
    </row>
    <row r="52" spans="1:10" s="370" customFormat="1" x14ac:dyDescent="0.25">
      <c r="A52" s="380">
        <v>4.2</v>
      </c>
      <c r="B52" s="381" t="s">
        <v>765</v>
      </c>
      <c r="C52" s="370" t="s">
        <v>766</v>
      </c>
      <c r="D52" s="370">
        <v>270000</v>
      </c>
      <c r="E52" s="370">
        <v>1</v>
      </c>
      <c r="F52" s="370">
        <v>6</v>
      </c>
      <c r="G52" s="372">
        <v>1620000</v>
      </c>
      <c r="H52" s="368"/>
      <c r="I52" s="369"/>
      <c r="J52" s="369"/>
    </row>
    <row r="53" spans="1:10" s="370" customFormat="1" x14ac:dyDescent="0.25">
      <c r="A53" s="371"/>
      <c r="C53" s="370" t="s">
        <v>767</v>
      </c>
      <c r="D53" s="370">
        <v>100000</v>
      </c>
      <c r="E53" s="370">
        <v>1</v>
      </c>
      <c r="F53" s="370">
        <v>1</v>
      </c>
      <c r="G53" s="372">
        <v>100000</v>
      </c>
      <c r="H53" s="368"/>
      <c r="I53" s="369"/>
      <c r="J53" s="369"/>
    </row>
    <row r="54" spans="1:10" s="370" customFormat="1" x14ac:dyDescent="0.25">
      <c r="A54" s="371"/>
      <c r="C54" s="370" t="s">
        <v>762</v>
      </c>
      <c r="D54" s="370">
        <v>250000</v>
      </c>
      <c r="E54" s="370">
        <v>4</v>
      </c>
      <c r="F54" s="370">
        <v>6</v>
      </c>
      <c r="G54" s="372">
        <v>6000000</v>
      </c>
      <c r="H54" s="368"/>
      <c r="I54" s="369"/>
      <c r="J54" s="369"/>
    </row>
    <row r="55" spans="1:10" s="370" customFormat="1" x14ac:dyDescent="0.25">
      <c r="A55" s="371"/>
      <c r="C55" s="370" t="s">
        <v>763</v>
      </c>
      <c r="D55" s="370">
        <v>100000</v>
      </c>
      <c r="E55" s="370">
        <v>4</v>
      </c>
      <c r="F55" s="370">
        <v>1</v>
      </c>
      <c r="G55" s="372">
        <v>400000</v>
      </c>
      <c r="H55" s="368"/>
      <c r="I55" s="369"/>
      <c r="J55" s="369"/>
    </row>
    <row r="56" spans="1:10" s="370" customFormat="1" x14ac:dyDescent="0.25">
      <c r="A56" s="371"/>
      <c r="C56" s="370" t="s">
        <v>764</v>
      </c>
      <c r="D56" s="370">
        <v>50000</v>
      </c>
      <c r="E56" s="370">
        <v>3</v>
      </c>
      <c r="F56" s="370">
        <v>3</v>
      </c>
      <c r="G56" s="372">
        <f>D56*E56*F56</f>
        <v>450000</v>
      </c>
      <c r="H56" s="368"/>
      <c r="I56" s="369"/>
      <c r="J56" s="369"/>
    </row>
    <row r="57" spans="1:10" s="370" customFormat="1" x14ac:dyDescent="0.25">
      <c r="A57" s="371"/>
      <c r="C57" s="370" t="s">
        <v>768</v>
      </c>
      <c r="D57" s="370">
        <v>8000</v>
      </c>
      <c r="E57" s="370">
        <v>136</v>
      </c>
      <c r="F57" s="370">
        <v>2</v>
      </c>
      <c r="G57" s="372">
        <v>2176000</v>
      </c>
      <c r="H57" s="368"/>
      <c r="I57" s="369"/>
      <c r="J57" s="369"/>
    </row>
    <row r="58" spans="1:10" s="370" customFormat="1" x14ac:dyDescent="0.25">
      <c r="A58" s="371"/>
      <c r="C58" s="370" t="s">
        <v>149</v>
      </c>
      <c r="D58" s="370">
        <v>160000</v>
      </c>
      <c r="E58" s="370">
        <v>1</v>
      </c>
      <c r="F58" s="370">
        <v>3</v>
      </c>
      <c r="G58" s="372">
        <v>480000</v>
      </c>
      <c r="H58" s="368"/>
      <c r="I58" s="369"/>
      <c r="J58" s="369"/>
    </row>
    <row r="59" spans="1:10" s="370" customFormat="1" x14ac:dyDescent="0.25">
      <c r="A59" s="371"/>
      <c r="G59" s="372"/>
      <c r="H59" s="368"/>
      <c r="I59" s="369"/>
      <c r="J59" s="369"/>
    </row>
    <row r="60" spans="1:10" s="370" customFormat="1" x14ac:dyDescent="0.25">
      <c r="A60" s="380">
        <v>4.3</v>
      </c>
      <c r="B60" s="381" t="s">
        <v>769</v>
      </c>
      <c r="C60" s="370" t="s">
        <v>770</v>
      </c>
      <c r="D60" s="370">
        <v>270000</v>
      </c>
      <c r="E60" s="370">
        <v>1</v>
      </c>
      <c r="F60" s="370">
        <v>4</v>
      </c>
      <c r="G60" s="372">
        <v>1080000</v>
      </c>
      <c r="H60" s="368"/>
      <c r="I60" s="369"/>
      <c r="J60" s="369"/>
    </row>
    <row r="61" spans="1:10" s="370" customFormat="1" x14ac:dyDescent="0.25">
      <c r="A61" s="371"/>
      <c r="C61" s="370" t="s">
        <v>771</v>
      </c>
      <c r="D61" s="370">
        <v>100000</v>
      </c>
      <c r="E61" s="370">
        <v>1</v>
      </c>
      <c r="F61" s="370">
        <v>1</v>
      </c>
      <c r="G61" s="372">
        <v>100000</v>
      </c>
      <c r="H61" s="368"/>
      <c r="I61" s="369"/>
      <c r="J61" s="369"/>
    </row>
    <row r="62" spans="1:10" s="370" customFormat="1" x14ac:dyDescent="0.25">
      <c r="A62" s="371"/>
      <c r="C62" s="370" t="s">
        <v>772</v>
      </c>
      <c r="D62" s="370">
        <v>250000</v>
      </c>
      <c r="E62" s="370">
        <v>4</v>
      </c>
      <c r="F62" s="370">
        <v>4</v>
      </c>
      <c r="G62" s="372">
        <v>4000000</v>
      </c>
      <c r="H62" s="368"/>
      <c r="I62" s="369"/>
      <c r="J62" s="369"/>
    </row>
    <row r="63" spans="1:10" s="370" customFormat="1" x14ac:dyDescent="0.25">
      <c r="A63" s="371"/>
      <c r="C63" s="370" t="s">
        <v>773</v>
      </c>
      <c r="D63" s="370">
        <v>100000</v>
      </c>
      <c r="E63" s="370">
        <v>4</v>
      </c>
      <c r="F63" s="370">
        <v>1</v>
      </c>
      <c r="G63" s="372">
        <v>400000</v>
      </c>
      <c r="H63" s="368"/>
      <c r="I63" s="369"/>
      <c r="J63" s="369"/>
    </row>
    <row r="64" spans="1:10" s="370" customFormat="1" x14ac:dyDescent="0.25">
      <c r="A64" s="371"/>
      <c r="C64" s="370" t="s">
        <v>764</v>
      </c>
      <c r="D64" s="370">
        <v>50000</v>
      </c>
      <c r="E64" s="370">
        <v>4</v>
      </c>
      <c r="F64" s="370">
        <v>3</v>
      </c>
      <c r="G64" s="372">
        <v>600000</v>
      </c>
      <c r="H64" s="368"/>
      <c r="I64" s="369"/>
      <c r="J64" s="369"/>
    </row>
    <row r="65" spans="1:10" s="370" customFormat="1" x14ac:dyDescent="0.25">
      <c r="A65" s="371"/>
      <c r="C65" s="370" t="s">
        <v>536</v>
      </c>
      <c r="D65" s="370">
        <v>1500000</v>
      </c>
      <c r="E65" s="370">
        <v>5</v>
      </c>
      <c r="F65" s="370">
        <v>1</v>
      </c>
      <c r="G65" s="372">
        <v>7500000</v>
      </c>
      <c r="H65" s="368"/>
      <c r="I65" s="369"/>
      <c r="J65" s="369"/>
    </row>
    <row r="66" spans="1:10" s="370" customFormat="1" x14ac:dyDescent="0.25">
      <c r="A66" s="371"/>
      <c r="C66" s="370" t="s">
        <v>527</v>
      </c>
      <c r="D66" s="370">
        <v>25000</v>
      </c>
      <c r="E66" s="370">
        <v>5</v>
      </c>
      <c r="F66" s="370">
        <v>2</v>
      </c>
      <c r="G66" s="372">
        <v>250000</v>
      </c>
      <c r="H66" s="368"/>
      <c r="I66" s="369"/>
      <c r="J66" s="369"/>
    </row>
    <row r="67" spans="1:10" s="370" customFormat="1" x14ac:dyDescent="0.25">
      <c r="A67" s="371"/>
      <c r="C67" s="370" t="s">
        <v>567</v>
      </c>
      <c r="D67" s="370">
        <v>160000</v>
      </c>
      <c r="E67" s="370">
        <v>1</v>
      </c>
      <c r="F67" s="370">
        <v>3</v>
      </c>
      <c r="G67" s="372">
        <v>480000</v>
      </c>
      <c r="H67" s="368"/>
      <c r="I67" s="369"/>
      <c r="J67" s="369"/>
    </row>
    <row r="68" spans="1:10" s="370" customFormat="1" x14ac:dyDescent="0.25">
      <c r="A68" s="371"/>
      <c r="G68" s="372"/>
      <c r="H68" s="368"/>
      <c r="I68" s="369"/>
      <c r="J68" s="369"/>
    </row>
    <row r="69" spans="1:10" s="370" customFormat="1" x14ac:dyDescent="0.25">
      <c r="A69" s="380">
        <v>4.4000000000000004</v>
      </c>
      <c r="B69" s="381" t="s">
        <v>774</v>
      </c>
      <c r="C69" s="370" t="s">
        <v>775</v>
      </c>
      <c r="D69" s="370">
        <v>270000</v>
      </c>
      <c r="E69" s="370">
        <v>1</v>
      </c>
      <c r="F69" s="370">
        <v>4</v>
      </c>
      <c r="G69" s="372">
        <v>1080000</v>
      </c>
      <c r="H69" s="368"/>
      <c r="I69" s="369"/>
      <c r="J69" s="369"/>
    </row>
    <row r="70" spans="1:10" s="370" customFormat="1" x14ac:dyDescent="0.25">
      <c r="A70" s="371"/>
      <c r="C70" s="370" t="s">
        <v>771</v>
      </c>
      <c r="D70" s="370">
        <v>100000</v>
      </c>
      <c r="E70" s="370">
        <v>1</v>
      </c>
      <c r="F70" s="370">
        <v>1</v>
      </c>
      <c r="G70" s="372">
        <v>100000</v>
      </c>
      <c r="H70" s="368"/>
      <c r="I70" s="369"/>
      <c r="J70" s="369"/>
    </row>
    <row r="71" spans="1:10" s="370" customFormat="1" x14ac:dyDescent="0.25">
      <c r="A71" s="371"/>
      <c r="C71" s="370" t="s">
        <v>772</v>
      </c>
      <c r="D71" s="370">
        <v>250000</v>
      </c>
      <c r="E71" s="370">
        <v>4</v>
      </c>
      <c r="F71" s="370">
        <v>4</v>
      </c>
      <c r="G71" s="372">
        <v>4000000</v>
      </c>
      <c r="H71" s="368"/>
      <c r="I71" s="369"/>
      <c r="J71" s="369"/>
    </row>
    <row r="72" spans="1:10" s="370" customFormat="1" x14ac:dyDescent="0.25">
      <c r="A72" s="371"/>
      <c r="C72" s="370" t="s">
        <v>773</v>
      </c>
      <c r="D72" s="370">
        <v>100000</v>
      </c>
      <c r="E72" s="370">
        <v>4</v>
      </c>
      <c r="F72" s="370">
        <v>1</v>
      </c>
      <c r="G72" s="372">
        <f>D72*E72*F72</f>
        <v>400000</v>
      </c>
      <c r="H72" s="368"/>
      <c r="I72" s="369"/>
      <c r="J72" s="369"/>
    </row>
    <row r="73" spans="1:10" s="370" customFormat="1" x14ac:dyDescent="0.25">
      <c r="A73" s="371"/>
      <c r="C73" s="370" t="s">
        <v>764</v>
      </c>
      <c r="D73" s="370">
        <v>50000</v>
      </c>
      <c r="E73" s="370">
        <v>4</v>
      </c>
      <c r="F73" s="370">
        <v>3</v>
      </c>
      <c r="G73" s="372">
        <v>600000</v>
      </c>
      <c r="H73" s="368"/>
      <c r="I73" s="369"/>
      <c r="J73" s="369"/>
    </row>
    <row r="74" spans="1:10" s="370" customFormat="1" x14ac:dyDescent="0.25">
      <c r="A74" s="371"/>
      <c r="C74" s="370" t="s">
        <v>536</v>
      </c>
      <c r="D74" s="370">
        <v>1500000</v>
      </c>
      <c r="E74" s="370">
        <v>5</v>
      </c>
      <c r="F74" s="370">
        <v>1</v>
      </c>
      <c r="G74" s="372">
        <v>7500000</v>
      </c>
      <c r="H74" s="368"/>
      <c r="I74" s="369"/>
      <c r="J74" s="369"/>
    </row>
    <row r="75" spans="1:10" s="370" customFormat="1" x14ac:dyDescent="0.25">
      <c r="A75" s="371"/>
      <c r="C75" s="370" t="s">
        <v>527</v>
      </c>
      <c r="D75" s="370">
        <v>25000</v>
      </c>
      <c r="E75" s="370">
        <v>5</v>
      </c>
      <c r="F75" s="370">
        <v>2</v>
      </c>
      <c r="G75" s="372">
        <v>250000</v>
      </c>
      <c r="H75" s="368"/>
      <c r="I75" s="369"/>
      <c r="J75" s="369"/>
    </row>
    <row r="76" spans="1:10" s="370" customFormat="1" x14ac:dyDescent="0.25">
      <c r="A76" s="371"/>
      <c r="C76" s="370" t="s">
        <v>567</v>
      </c>
      <c r="D76" s="370">
        <v>160000</v>
      </c>
      <c r="E76" s="370">
        <v>1</v>
      </c>
      <c r="F76" s="370">
        <v>3</v>
      </c>
      <c r="G76" s="372">
        <v>480000</v>
      </c>
      <c r="H76" s="368"/>
      <c r="I76" s="369"/>
      <c r="J76" s="369"/>
    </row>
    <row r="77" spans="1:10" s="370" customFormat="1" x14ac:dyDescent="0.25">
      <c r="A77" s="371"/>
      <c r="G77" s="372"/>
      <c r="H77" s="368"/>
      <c r="I77" s="369"/>
      <c r="J77" s="369"/>
    </row>
    <row r="78" spans="1:10" s="370" customFormat="1" x14ac:dyDescent="0.25">
      <c r="A78" s="380">
        <v>4.5</v>
      </c>
      <c r="B78" s="381" t="s">
        <v>776</v>
      </c>
      <c r="C78" s="370" t="s">
        <v>770</v>
      </c>
      <c r="D78" s="370">
        <v>270000</v>
      </c>
      <c r="E78" s="370">
        <v>1</v>
      </c>
      <c r="F78" s="370">
        <v>4</v>
      </c>
      <c r="G78" s="372">
        <v>1080000</v>
      </c>
      <c r="H78" s="368"/>
      <c r="I78" s="369"/>
      <c r="J78" s="369"/>
    </row>
    <row r="79" spans="1:10" s="370" customFormat="1" x14ac:dyDescent="0.25">
      <c r="A79" s="371"/>
      <c r="C79" s="370" t="s">
        <v>771</v>
      </c>
      <c r="D79" s="370">
        <v>100000</v>
      </c>
      <c r="E79" s="370">
        <v>1</v>
      </c>
      <c r="F79" s="370">
        <v>1</v>
      </c>
      <c r="G79" s="372">
        <v>100000</v>
      </c>
      <c r="H79" s="368"/>
      <c r="I79" s="369"/>
      <c r="J79" s="369"/>
    </row>
    <row r="80" spans="1:10" s="370" customFormat="1" x14ac:dyDescent="0.25">
      <c r="A80" s="371"/>
      <c r="C80" s="370" t="s">
        <v>772</v>
      </c>
      <c r="D80" s="370">
        <v>250000</v>
      </c>
      <c r="E80" s="370">
        <v>4</v>
      </c>
      <c r="F80" s="370">
        <v>4</v>
      </c>
      <c r="G80" s="372">
        <v>4000000</v>
      </c>
      <c r="H80" s="368"/>
      <c r="I80" s="369"/>
      <c r="J80" s="369"/>
    </row>
    <row r="81" spans="1:10" s="370" customFormat="1" x14ac:dyDescent="0.25">
      <c r="A81" s="371"/>
      <c r="C81" s="370" t="s">
        <v>773</v>
      </c>
      <c r="D81" s="370">
        <v>100000</v>
      </c>
      <c r="E81" s="370">
        <v>1</v>
      </c>
      <c r="F81" s="370">
        <v>1</v>
      </c>
      <c r="G81" s="372">
        <v>100000</v>
      </c>
      <c r="H81" s="368"/>
      <c r="I81" s="369"/>
      <c r="J81" s="369"/>
    </row>
    <row r="82" spans="1:10" s="370" customFormat="1" x14ac:dyDescent="0.25">
      <c r="A82" s="371"/>
      <c r="C82" s="370" t="s">
        <v>764</v>
      </c>
      <c r="D82" s="370">
        <v>50000</v>
      </c>
      <c r="E82" s="370">
        <v>4</v>
      </c>
      <c r="F82" s="370">
        <v>3</v>
      </c>
      <c r="G82" s="372">
        <v>600000</v>
      </c>
      <c r="H82" s="368"/>
      <c r="I82" s="369"/>
      <c r="J82" s="369"/>
    </row>
    <row r="83" spans="1:10" s="370" customFormat="1" x14ac:dyDescent="0.25">
      <c r="A83" s="371"/>
      <c r="C83" s="370" t="s">
        <v>536</v>
      </c>
      <c r="D83" s="370">
        <v>1200000</v>
      </c>
      <c r="E83" s="370">
        <v>5</v>
      </c>
      <c r="F83" s="370">
        <v>1</v>
      </c>
      <c r="G83" s="372">
        <v>6000000</v>
      </c>
      <c r="H83" s="368"/>
      <c r="I83" s="369"/>
      <c r="J83" s="369"/>
    </row>
    <row r="84" spans="1:10" s="370" customFormat="1" x14ac:dyDescent="0.25">
      <c r="A84" s="371"/>
      <c r="C84" s="370" t="s">
        <v>527</v>
      </c>
      <c r="D84" s="370">
        <v>25000</v>
      </c>
      <c r="E84" s="370">
        <v>5</v>
      </c>
      <c r="F84" s="370">
        <v>2</v>
      </c>
      <c r="G84" s="372">
        <v>250000</v>
      </c>
      <c r="H84" s="368"/>
      <c r="I84" s="369"/>
      <c r="J84" s="369"/>
    </row>
    <row r="85" spans="1:10" s="370" customFormat="1" x14ac:dyDescent="0.25">
      <c r="A85" s="371"/>
      <c r="C85" s="370" t="s">
        <v>567</v>
      </c>
      <c r="D85" s="370">
        <v>160000</v>
      </c>
      <c r="E85" s="370">
        <v>1</v>
      </c>
      <c r="F85" s="370">
        <v>3</v>
      </c>
      <c r="G85" s="372">
        <v>480000</v>
      </c>
      <c r="H85" s="368"/>
      <c r="I85" s="369"/>
      <c r="J85" s="369"/>
    </row>
    <row r="86" spans="1:10" s="370" customFormat="1" x14ac:dyDescent="0.25">
      <c r="A86" s="371"/>
      <c r="G86" s="372"/>
      <c r="H86" s="368"/>
      <c r="I86" s="369"/>
      <c r="J86" s="369"/>
    </row>
    <row r="87" spans="1:10" s="370" customFormat="1" x14ac:dyDescent="0.25">
      <c r="A87" s="380">
        <v>4.5999999999999996</v>
      </c>
      <c r="B87" s="381" t="s">
        <v>777</v>
      </c>
      <c r="C87" s="370" t="s">
        <v>778</v>
      </c>
      <c r="D87" s="370">
        <v>270000</v>
      </c>
      <c r="E87" s="370">
        <v>1</v>
      </c>
      <c r="F87" s="370">
        <v>4</v>
      </c>
      <c r="G87" s="372">
        <v>1080000</v>
      </c>
      <c r="H87" s="368"/>
      <c r="I87" s="369"/>
      <c r="J87" s="369"/>
    </row>
    <row r="88" spans="1:10" s="370" customFormat="1" x14ac:dyDescent="0.25">
      <c r="A88" s="371"/>
      <c r="C88" s="370" t="s">
        <v>779</v>
      </c>
      <c r="D88" s="370">
        <v>100000</v>
      </c>
      <c r="E88" s="370">
        <v>1</v>
      </c>
      <c r="F88" s="370">
        <v>1</v>
      </c>
      <c r="G88" s="372">
        <v>100000</v>
      </c>
      <c r="H88" s="368"/>
      <c r="I88" s="369"/>
      <c r="J88" s="369"/>
    </row>
    <row r="89" spans="1:10" s="370" customFormat="1" x14ac:dyDescent="0.25">
      <c r="A89" s="371"/>
      <c r="C89" s="370" t="s">
        <v>762</v>
      </c>
      <c r="D89" s="370">
        <v>250000</v>
      </c>
      <c r="E89" s="370">
        <v>4</v>
      </c>
      <c r="F89" s="370">
        <v>4</v>
      </c>
      <c r="G89" s="372">
        <v>4000000</v>
      </c>
      <c r="H89" s="368"/>
      <c r="I89" s="369"/>
      <c r="J89" s="369"/>
    </row>
    <row r="90" spans="1:10" s="370" customFormat="1" x14ac:dyDescent="0.25">
      <c r="A90" s="371"/>
      <c r="C90" s="370" t="s">
        <v>763</v>
      </c>
      <c r="D90" s="370">
        <v>100000</v>
      </c>
      <c r="E90" s="370">
        <v>4</v>
      </c>
      <c r="F90" s="370">
        <v>1</v>
      </c>
      <c r="G90" s="372">
        <v>400000</v>
      </c>
      <c r="H90" s="368"/>
      <c r="I90" s="369"/>
      <c r="J90" s="369"/>
    </row>
    <row r="91" spans="1:10" s="370" customFormat="1" x14ac:dyDescent="0.25">
      <c r="A91" s="371"/>
      <c r="C91" s="370" t="s">
        <v>764</v>
      </c>
      <c r="D91" s="370">
        <v>50000</v>
      </c>
      <c r="E91" s="370">
        <v>3</v>
      </c>
      <c r="F91" s="370">
        <v>3</v>
      </c>
      <c r="G91" s="372">
        <f>D91*E91*F91</f>
        <v>450000</v>
      </c>
      <c r="H91" s="368"/>
      <c r="I91" s="369"/>
      <c r="J91" s="369"/>
    </row>
    <row r="92" spans="1:10" s="370" customFormat="1" x14ac:dyDescent="0.25">
      <c r="A92" s="371"/>
      <c r="C92" s="370" t="s">
        <v>780</v>
      </c>
      <c r="D92" s="370">
        <v>8000</v>
      </c>
      <c r="E92" s="370">
        <v>76.5</v>
      </c>
      <c r="F92" s="370">
        <v>2</v>
      </c>
      <c r="G92" s="372">
        <v>1224000</v>
      </c>
      <c r="H92" s="368"/>
      <c r="I92" s="369"/>
      <c r="J92" s="369"/>
    </row>
    <row r="93" spans="1:10" s="370" customFormat="1" x14ac:dyDescent="0.25">
      <c r="A93" s="371"/>
      <c r="C93" s="370" t="s">
        <v>149</v>
      </c>
      <c r="D93" s="370">
        <v>160000</v>
      </c>
      <c r="E93" s="370">
        <v>1</v>
      </c>
      <c r="F93" s="370">
        <v>3</v>
      </c>
      <c r="G93" s="372">
        <v>480000</v>
      </c>
      <c r="H93" s="368"/>
      <c r="I93" s="369"/>
      <c r="J93" s="369"/>
    </row>
    <row r="94" spans="1:10" s="370" customFormat="1" x14ac:dyDescent="0.25">
      <c r="A94" s="371"/>
      <c r="G94" s="372"/>
      <c r="H94" s="368"/>
      <c r="I94" s="369"/>
      <c r="J94" s="369"/>
    </row>
    <row r="95" spans="1:10" s="370" customFormat="1" x14ac:dyDescent="0.25">
      <c r="A95" s="380">
        <v>4.7</v>
      </c>
      <c r="B95" s="381" t="s">
        <v>781</v>
      </c>
      <c r="C95" s="370" t="s">
        <v>770</v>
      </c>
      <c r="D95" s="370">
        <v>270000</v>
      </c>
      <c r="E95" s="370">
        <v>1</v>
      </c>
      <c r="F95" s="370">
        <v>4</v>
      </c>
      <c r="G95" s="372">
        <v>1080000</v>
      </c>
      <c r="H95" s="368"/>
      <c r="I95" s="369"/>
      <c r="J95" s="369"/>
    </row>
    <row r="96" spans="1:10" s="370" customFormat="1" x14ac:dyDescent="0.25">
      <c r="A96" s="371"/>
      <c r="C96" s="370" t="s">
        <v>771</v>
      </c>
      <c r="D96" s="370">
        <v>100000</v>
      </c>
      <c r="E96" s="370">
        <v>1</v>
      </c>
      <c r="F96" s="370">
        <v>1</v>
      </c>
      <c r="G96" s="372">
        <v>100000</v>
      </c>
      <c r="H96" s="368"/>
      <c r="I96" s="369"/>
      <c r="J96" s="369"/>
    </row>
    <row r="97" spans="1:10" s="370" customFormat="1" x14ac:dyDescent="0.25">
      <c r="A97" s="371"/>
      <c r="C97" s="370" t="s">
        <v>772</v>
      </c>
      <c r="D97" s="370">
        <v>250000</v>
      </c>
      <c r="E97" s="370">
        <v>4</v>
      </c>
      <c r="F97" s="370">
        <v>4</v>
      </c>
      <c r="G97" s="372">
        <v>4000000</v>
      </c>
      <c r="H97" s="368"/>
      <c r="I97" s="369"/>
      <c r="J97" s="369"/>
    </row>
    <row r="98" spans="1:10" s="370" customFormat="1" x14ac:dyDescent="0.25">
      <c r="A98" s="371"/>
      <c r="C98" s="370" t="s">
        <v>773</v>
      </c>
      <c r="D98" s="370">
        <v>100000</v>
      </c>
      <c r="E98" s="370">
        <v>4</v>
      </c>
      <c r="F98" s="370">
        <v>1</v>
      </c>
      <c r="G98" s="372">
        <f>D98*E98*F98</f>
        <v>400000</v>
      </c>
      <c r="H98" s="368"/>
      <c r="I98" s="369"/>
      <c r="J98" s="369"/>
    </row>
    <row r="99" spans="1:10" s="370" customFormat="1" x14ac:dyDescent="0.25">
      <c r="A99" s="371"/>
      <c r="C99" s="370" t="s">
        <v>764</v>
      </c>
      <c r="D99" s="370">
        <v>50000</v>
      </c>
      <c r="E99" s="370">
        <v>4</v>
      </c>
      <c r="F99" s="370">
        <v>3</v>
      </c>
      <c r="G99" s="372">
        <v>600000</v>
      </c>
      <c r="H99" s="368"/>
      <c r="I99" s="369"/>
      <c r="J99" s="369"/>
    </row>
    <row r="100" spans="1:10" s="370" customFormat="1" x14ac:dyDescent="0.25">
      <c r="A100" s="371"/>
      <c r="C100" s="370" t="s">
        <v>782</v>
      </c>
      <c r="D100" s="370">
        <v>1200000</v>
      </c>
      <c r="E100" s="370">
        <v>5</v>
      </c>
      <c r="F100" s="370">
        <v>1</v>
      </c>
      <c r="G100" s="372">
        <v>6000000</v>
      </c>
      <c r="H100" s="368"/>
      <c r="I100" s="369"/>
      <c r="J100" s="369"/>
    </row>
    <row r="101" spans="1:10" s="370" customFormat="1" x14ac:dyDescent="0.25">
      <c r="A101" s="371"/>
      <c r="C101" s="370" t="s">
        <v>527</v>
      </c>
      <c r="D101" s="370">
        <v>25000</v>
      </c>
      <c r="E101" s="370">
        <v>5</v>
      </c>
      <c r="F101" s="370">
        <v>2</v>
      </c>
      <c r="G101" s="372">
        <v>250000</v>
      </c>
      <c r="H101" s="368"/>
      <c r="I101" s="369"/>
      <c r="J101" s="369"/>
    </row>
    <row r="102" spans="1:10" s="370" customFormat="1" x14ac:dyDescent="0.25">
      <c r="A102" s="371"/>
      <c r="C102" s="370" t="s">
        <v>567</v>
      </c>
      <c r="D102" s="370">
        <v>160000</v>
      </c>
      <c r="E102" s="370">
        <v>1</v>
      </c>
      <c r="F102" s="370">
        <v>3</v>
      </c>
      <c r="G102" s="372">
        <v>480000</v>
      </c>
      <c r="H102" s="368"/>
      <c r="I102" s="369"/>
      <c r="J102" s="369"/>
    </row>
    <row r="103" spans="1:10" s="370" customFormat="1" x14ac:dyDescent="0.25">
      <c r="A103" s="371"/>
      <c r="G103" s="372"/>
      <c r="H103" s="368"/>
      <c r="I103" s="369"/>
      <c r="J103" s="369"/>
    </row>
    <row r="104" spans="1:10" s="370" customFormat="1" x14ac:dyDescent="0.25">
      <c r="A104" s="380">
        <v>4.8</v>
      </c>
      <c r="B104" s="381" t="s">
        <v>783</v>
      </c>
      <c r="C104" s="370" t="s">
        <v>778</v>
      </c>
      <c r="D104" s="370">
        <v>270000</v>
      </c>
      <c r="E104" s="370">
        <v>1</v>
      </c>
      <c r="F104" s="370">
        <v>5</v>
      </c>
      <c r="G104" s="372">
        <v>1350000</v>
      </c>
      <c r="H104" s="368"/>
      <c r="I104" s="369"/>
      <c r="J104" s="369"/>
    </row>
    <row r="105" spans="1:10" s="370" customFormat="1" x14ac:dyDescent="0.25">
      <c r="A105" s="371"/>
      <c r="C105" s="370" t="s">
        <v>779</v>
      </c>
      <c r="D105" s="370">
        <v>100000</v>
      </c>
      <c r="E105" s="370">
        <v>1</v>
      </c>
      <c r="F105" s="370">
        <v>1</v>
      </c>
      <c r="G105" s="372">
        <v>100000</v>
      </c>
      <c r="H105" s="368"/>
      <c r="I105" s="369"/>
      <c r="J105" s="369"/>
    </row>
    <row r="106" spans="1:10" s="370" customFormat="1" x14ac:dyDescent="0.25">
      <c r="A106" s="371"/>
      <c r="C106" s="370" t="s">
        <v>762</v>
      </c>
      <c r="D106" s="370">
        <v>250000</v>
      </c>
      <c r="E106" s="370">
        <v>4</v>
      </c>
      <c r="F106" s="370">
        <v>5</v>
      </c>
      <c r="G106" s="372">
        <v>5000000</v>
      </c>
      <c r="H106" s="368"/>
      <c r="I106" s="369"/>
      <c r="J106" s="369"/>
    </row>
    <row r="107" spans="1:10" s="370" customFormat="1" x14ac:dyDescent="0.25">
      <c r="A107" s="371"/>
      <c r="C107" s="370" t="s">
        <v>763</v>
      </c>
      <c r="D107" s="370">
        <v>100000</v>
      </c>
      <c r="E107" s="370">
        <v>4</v>
      </c>
      <c r="F107" s="370">
        <v>1</v>
      </c>
      <c r="G107" s="372">
        <v>400000</v>
      </c>
      <c r="H107" s="368"/>
      <c r="I107" s="369"/>
      <c r="J107" s="369"/>
    </row>
    <row r="108" spans="1:10" s="370" customFormat="1" x14ac:dyDescent="0.25">
      <c r="A108" s="371"/>
      <c r="C108" s="370" t="s">
        <v>764</v>
      </c>
      <c r="D108" s="370">
        <v>50000</v>
      </c>
      <c r="E108" s="370">
        <v>3</v>
      </c>
      <c r="F108" s="370">
        <v>3</v>
      </c>
      <c r="G108" s="372">
        <f>D108*E108*F108</f>
        <v>450000</v>
      </c>
      <c r="H108" s="368"/>
      <c r="I108" s="369"/>
      <c r="J108" s="369"/>
    </row>
    <row r="109" spans="1:10" s="370" customFormat="1" x14ac:dyDescent="0.25">
      <c r="A109" s="371"/>
      <c r="C109" s="370" t="s">
        <v>784</v>
      </c>
      <c r="D109" s="370">
        <v>8000</v>
      </c>
      <c r="E109" s="370">
        <v>106.66666666666667</v>
      </c>
      <c r="F109" s="370">
        <v>2</v>
      </c>
      <c r="G109" s="372">
        <v>1706666.6666666667</v>
      </c>
      <c r="H109" s="368"/>
      <c r="I109" s="369"/>
      <c r="J109" s="369"/>
    </row>
    <row r="110" spans="1:10" s="370" customFormat="1" x14ac:dyDescent="0.25">
      <c r="A110" s="371"/>
      <c r="C110" s="370" t="s">
        <v>149</v>
      </c>
      <c r="D110" s="370">
        <v>160000</v>
      </c>
      <c r="E110" s="370">
        <v>1</v>
      </c>
      <c r="F110" s="370">
        <v>3</v>
      </c>
      <c r="G110" s="372">
        <v>480000</v>
      </c>
      <c r="H110" s="368"/>
      <c r="I110" s="369"/>
      <c r="J110" s="369"/>
    </row>
    <row r="111" spans="1:10" s="366" customFormat="1" x14ac:dyDescent="0.25">
      <c r="A111" s="380">
        <v>4.9000000000000004</v>
      </c>
      <c r="B111" s="381" t="s">
        <v>785</v>
      </c>
      <c r="G111" s="367"/>
      <c r="H111" s="373"/>
      <c r="I111" s="376"/>
      <c r="J111" s="376"/>
    </row>
    <row r="112" spans="1:10" s="370" customFormat="1" x14ac:dyDescent="0.25">
      <c r="A112" s="382" t="s">
        <v>786</v>
      </c>
      <c r="B112" s="383" t="s">
        <v>787</v>
      </c>
      <c r="C112" s="370" t="s">
        <v>770</v>
      </c>
      <c r="D112" s="370">
        <v>270000</v>
      </c>
      <c r="E112" s="370">
        <v>1</v>
      </c>
      <c r="F112" s="370">
        <v>4</v>
      </c>
      <c r="G112" s="372">
        <v>1080000</v>
      </c>
      <c r="H112" s="368"/>
      <c r="I112" s="369"/>
      <c r="J112" s="369"/>
    </row>
    <row r="113" spans="1:10" s="370" customFormat="1" x14ac:dyDescent="0.25">
      <c r="A113" s="371"/>
      <c r="C113" s="370" t="s">
        <v>771</v>
      </c>
      <c r="D113" s="370">
        <v>100000</v>
      </c>
      <c r="E113" s="370">
        <v>1</v>
      </c>
      <c r="F113" s="370">
        <v>1</v>
      </c>
      <c r="G113" s="372">
        <v>100000</v>
      </c>
      <c r="H113" s="368"/>
      <c r="I113" s="369"/>
      <c r="J113" s="369"/>
    </row>
    <row r="114" spans="1:10" s="370" customFormat="1" x14ac:dyDescent="0.25">
      <c r="A114" s="371"/>
      <c r="C114" s="370" t="s">
        <v>762</v>
      </c>
      <c r="D114" s="370">
        <v>250000</v>
      </c>
      <c r="E114" s="370">
        <v>4</v>
      </c>
      <c r="F114" s="370">
        <v>4</v>
      </c>
      <c r="G114" s="372">
        <v>4000000</v>
      </c>
      <c r="H114" s="368"/>
      <c r="I114" s="369"/>
      <c r="J114" s="369"/>
    </row>
    <row r="115" spans="1:10" s="370" customFormat="1" x14ac:dyDescent="0.25">
      <c r="A115" s="371"/>
      <c r="C115" s="370" t="s">
        <v>763</v>
      </c>
      <c r="D115" s="370">
        <v>100000</v>
      </c>
      <c r="E115" s="370">
        <v>4</v>
      </c>
      <c r="F115" s="370">
        <v>1</v>
      </c>
      <c r="G115" s="372">
        <v>400000</v>
      </c>
      <c r="H115" s="368"/>
      <c r="I115" s="369"/>
      <c r="J115" s="369"/>
    </row>
    <row r="116" spans="1:10" s="370" customFormat="1" x14ac:dyDescent="0.25">
      <c r="A116" s="371"/>
      <c r="C116" s="370" t="s">
        <v>764</v>
      </c>
      <c r="D116" s="370">
        <v>50000</v>
      </c>
      <c r="E116" s="370">
        <v>3</v>
      </c>
      <c r="F116" s="370">
        <v>3</v>
      </c>
      <c r="G116" s="372">
        <v>450000</v>
      </c>
      <c r="H116" s="368"/>
      <c r="I116" s="369"/>
      <c r="J116" s="369"/>
    </row>
    <row r="117" spans="1:10" s="370" customFormat="1" x14ac:dyDescent="0.25">
      <c r="A117" s="371"/>
      <c r="C117" s="370" t="s">
        <v>788</v>
      </c>
      <c r="D117" s="370">
        <v>8000</v>
      </c>
      <c r="E117" s="370">
        <v>19</v>
      </c>
      <c r="F117" s="370">
        <v>1</v>
      </c>
      <c r="G117" s="372">
        <f>D117*E117*F117</f>
        <v>152000</v>
      </c>
      <c r="H117" s="368"/>
      <c r="I117" s="369"/>
      <c r="J117" s="369"/>
    </row>
    <row r="118" spans="1:10" s="370" customFormat="1" x14ac:dyDescent="0.25">
      <c r="A118" s="371"/>
      <c r="C118" s="370" t="s">
        <v>789</v>
      </c>
      <c r="D118" s="370">
        <v>8000</v>
      </c>
      <c r="E118" s="370">
        <v>25.375</v>
      </c>
      <c r="F118" s="370">
        <v>1</v>
      </c>
      <c r="G118" s="372">
        <v>203000</v>
      </c>
      <c r="H118" s="368"/>
      <c r="I118" s="369"/>
      <c r="J118" s="369"/>
    </row>
    <row r="119" spans="1:10" s="370" customFormat="1" x14ac:dyDescent="0.25">
      <c r="A119" s="371"/>
      <c r="C119" s="370" t="s">
        <v>149</v>
      </c>
      <c r="D119" s="370">
        <v>160000</v>
      </c>
      <c r="E119" s="370">
        <v>1</v>
      </c>
      <c r="F119" s="370">
        <v>3</v>
      </c>
      <c r="G119" s="372">
        <v>480000</v>
      </c>
      <c r="H119" s="368"/>
      <c r="I119" s="369"/>
      <c r="J119" s="369"/>
    </row>
    <row r="120" spans="1:10" s="370" customFormat="1" x14ac:dyDescent="0.25">
      <c r="A120" s="371"/>
      <c r="G120" s="372"/>
      <c r="H120" s="368"/>
      <c r="I120" s="369"/>
      <c r="J120" s="369"/>
    </row>
    <row r="121" spans="1:10" s="370" customFormat="1" x14ac:dyDescent="0.25">
      <c r="A121" s="382" t="s">
        <v>790</v>
      </c>
      <c r="B121" s="383" t="s">
        <v>791</v>
      </c>
      <c r="C121" s="370" t="s">
        <v>770</v>
      </c>
      <c r="D121" s="370">
        <v>270000</v>
      </c>
      <c r="E121" s="370">
        <v>1</v>
      </c>
      <c r="F121" s="370">
        <v>3</v>
      </c>
      <c r="G121" s="372">
        <v>810000</v>
      </c>
      <c r="H121" s="368"/>
      <c r="I121" s="369"/>
      <c r="J121" s="369"/>
    </row>
    <row r="122" spans="1:10" s="370" customFormat="1" x14ac:dyDescent="0.25">
      <c r="A122" s="371"/>
      <c r="C122" s="370" t="s">
        <v>771</v>
      </c>
      <c r="D122" s="370">
        <v>100000</v>
      </c>
      <c r="E122" s="370">
        <v>1</v>
      </c>
      <c r="F122" s="370">
        <v>1</v>
      </c>
      <c r="G122" s="372">
        <v>100000</v>
      </c>
      <c r="H122" s="368"/>
      <c r="I122" s="369"/>
      <c r="J122" s="369"/>
    </row>
    <row r="123" spans="1:10" s="370" customFormat="1" x14ac:dyDescent="0.25">
      <c r="A123" s="371"/>
      <c r="C123" s="370" t="s">
        <v>762</v>
      </c>
      <c r="D123" s="370">
        <v>250000</v>
      </c>
      <c r="E123" s="370">
        <v>4</v>
      </c>
      <c r="F123" s="370">
        <v>3</v>
      </c>
      <c r="G123" s="372">
        <v>3000000</v>
      </c>
      <c r="H123" s="368"/>
      <c r="I123" s="369"/>
      <c r="J123" s="369"/>
    </row>
    <row r="124" spans="1:10" s="370" customFormat="1" x14ac:dyDescent="0.25">
      <c r="A124" s="371"/>
      <c r="C124" s="370" t="s">
        <v>763</v>
      </c>
      <c r="D124" s="370">
        <v>100000</v>
      </c>
      <c r="E124" s="370">
        <v>4</v>
      </c>
      <c r="F124" s="370">
        <v>1</v>
      </c>
      <c r="G124" s="372">
        <v>400000</v>
      </c>
      <c r="H124" s="368"/>
      <c r="I124" s="369"/>
      <c r="J124" s="369"/>
    </row>
    <row r="125" spans="1:10" s="370" customFormat="1" x14ac:dyDescent="0.25">
      <c r="A125" s="371"/>
      <c r="C125" s="370" t="s">
        <v>764</v>
      </c>
      <c r="D125" s="370">
        <v>50000</v>
      </c>
      <c r="E125" s="370">
        <v>3</v>
      </c>
      <c r="F125" s="370">
        <v>3</v>
      </c>
      <c r="G125" s="372">
        <v>450000</v>
      </c>
      <c r="H125" s="368"/>
      <c r="I125" s="369"/>
      <c r="J125" s="369"/>
    </row>
    <row r="126" spans="1:10" s="370" customFormat="1" x14ac:dyDescent="0.25">
      <c r="A126" s="371"/>
      <c r="C126" s="370" t="s">
        <v>149</v>
      </c>
      <c r="D126" s="370">
        <v>160000</v>
      </c>
      <c r="E126" s="370">
        <v>1</v>
      </c>
      <c r="F126" s="370">
        <v>3</v>
      </c>
      <c r="G126" s="372">
        <v>480000</v>
      </c>
      <c r="H126" s="368"/>
      <c r="I126" s="369"/>
      <c r="J126" s="369"/>
    </row>
    <row r="127" spans="1:10" s="370" customFormat="1" x14ac:dyDescent="0.25">
      <c r="A127" s="371"/>
      <c r="C127" s="370" t="s">
        <v>792</v>
      </c>
      <c r="D127" s="370">
        <v>8000</v>
      </c>
      <c r="E127" s="370">
        <v>44.125</v>
      </c>
      <c r="F127" s="370">
        <v>1</v>
      </c>
      <c r="G127" s="372">
        <v>353000</v>
      </c>
      <c r="H127" s="368"/>
      <c r="I127" s="369"/>
      <c r="J127" s="369"/>
    </row>
    <row r="128" spans="1:10" s="366" customFormat="1" x14ac:dyDescent="0.25">
      <c r="A128" s="380">
        <v>5</v>
      </c>
      <c r="B128" s="381" t="s">
        <v>793</v>
      </c>
      <c r="G128" s="367"/>
      <c r="H128" s="373"/>
      <c r="I128" s="376"/>
      <c r="J128" s="376"/>
    </row>
    <row r="129" spans="1:10" s="370" customFormat="1" x14ac:dyDescent="0.25">
      <c r="A129" s="384">
        <v>5.0999999999999996</v>
      </c>
      <c r="B129" s="385" t="s">
        <v>794</v>
      </c>
      <c r="C129" s="370" t="s">
        <v>775</v>
      </c>
      <c r="D129" s="370">
        <v>270000</v>
      </c>
      <c r="E129" s="370">
        <v>1</v>
      </c>
      <c r="F129" s="370">
        <v>4</v>
      </c>
      <c r="G129" s="372">
        <v>1080000</v>
      </c>
      <c r="H129" s="368"/>
      <c r="I129" s="369"/>
      <c r="J129" s="369"/>
    </row>
    <row r="130" spans="1:10" s="370" customFormat="1" x14ac:dyDescent="0.25">
      <c r="A130" s="371"/>
      <c r="C130" s="370" t="s">
        <v>771</v>
      </c>
      <c r="D130" s="370">
        <v>100000</v>
      </c>
      <c r="E130" s="370">
        <v>1</v>
      </c>
      <c r="F130" s="370">
        <v>1</v>
      </c>
      <c r="G130" s="372">
        <v>100000</v>
      </c>
      <c r="H130" s="368"/>
      <c r="I130" s="369"/>
      <c r="J130" s="369"/>
    </row>
    <row r="131" spans="1:10" s="370" customFormat="1" x14ac:dyDescent="0.25">
      <c r="A131" s="371"/>
      <c r="C131" s="370" t="s">
        <v>762</v>
      </c>
      <c r="D131" s="370">
        <v>250000</v>
      </c>
      <c r="E131" s="370">
        <v>4</v>
      </c>
      <c r="F131" s="370">
        <v>4</v>
      </c>
      <c r="G131" s="372">
        <v>4000000</v>
      </c>
      <c r="H131" s="368"/>
      <c r="I131" s="369"/>
      <c r="J131" s="369"/>
    </row>
    <row r="132" spans="1:10" s="370" customFormat="1" x14ac:dyDescent="0.25">
      <c r="A132" s="371"/>
      <c r="C132" s="370" t="s">
        <v>763</v>
      </c>
      <c r="D132" s="370">
        <v>100000</v>
      </c>
      <c r="E132" s="370">
        <v>4</v>
      </c>
      <c r="F132" s="370">
        <v>1</v>
      </c>
      <c r="G132" s="372">
        <v>400000</v>
      </c>
      <c r="H132" s="368"/>
      <c r="I132" s="369"/>
      <c r="J132" s="369"/>
    </row>
    <row r="133" spans="1:10" s="370" customFormat="1" x14ac:dyDescent="0.25">
      <c r="A133" s="371"/>
      <c r="C133" s="370" t="s">
        <v>764</v>
      </c>
      <c r="D133" s="370">
        <v>50000</v>
      </c>
      <c r="E133" s="370">
        <v>3</v>
      </c>
      <c r="F133" s="370">
        <v>3</v>
      </c>
      <c r="G133" s="372">
        <v>450000</v>
      </c>
      <c r="H133" s="368"/>
      <c r="I133" s="369"/>
      <c r="J133" s="369"/>
    </row>
    <row r="134" spans="1:10" s="370" customFormat="1" x14ac:dyDescent="0.25">
      <c r="A134" s="371"/>
      <c r="C134" s="370" t="s">
        <v>149</v>
      </c>
      <c r="D134" s="370">
        <v>160000</v>
      </c>
      <c r="E134" s="370">
        <v>1</v>
      </c>
      <c r="F134" s="370">
        <v>3</v>
      </c>
      <c r="G134" s="372">
        <v>480000</v>
      </c>
      <c r="H134" s="368"/>
      <c r="I134" s="369"/>
      <c r="J134" s="369"/>
    </row>
    <row r="135" spans="1:10" s="370" customFormat="1" x14ac:dyDescent="0.25">
      <c r="A135" s="371"/>
      <c r="C135" s="370" t="s">
        <v>795</v>
      </c>
      <c r="D135" s="370">
        <v>8000</v>
      </c>
      <c r="E135" s="370">
        <f>469/8</f>
        <v>58.625</v>
      </c>
      <c r="F135" s="370">
        <v>1</v>
      </c>
      <c r="G135" s="372">
        <f>D135*E135*F135</f>
        <v>469000</v>
      </c>
      <c r="H135" s="368"/>
      <c r="I135" s="369"/>
      <c r="J135" s="369"/>
    </row>
    <row r="136" spans="1:10" s="370" customFormat="1" x14ac:dyDescent="0.25">
      <c r="A136" s="371"/>
      <c r="C136" s="370" t="s">
        <v>796</v>
      </c>
      <c r="D136" s="370">
        <v>8000</v>
      </c>
      <c r="E136" s="370">
        <v>31</v>
      </c>
      <c r="F136" s="370">
        <v>1</v>
      </c>
      <c r="G136" s="372">
        <v>248000</v>
      </c>
      <c r="H136" s="368"/>
      <c r="I136" s="369"/>
      <c r="J136" s="369"/>
    </row>
    <row r="137" spans="1:10" s="370" customFormat="1" x14ac:dyDescent="0.25">
      <c r="A137" s="371"/>
      <c r="G137" s="372"/>
      <c r="H137" s="368"/>
      <c r="I137" s="369"/>
      <c r="J137" s="369"/>
    </row>
    <row r="138" spans="1:10" s="370" customFormat="1" x14ac:dyDescent="0.25">
      <c r="A138" s="384">
        <v>5.2</v>
      </c>
      <c r="B138" s="385" t="s">
        <v>797</v>
      </c>
      <c r="G138" s="372"/>
      <c r="H138" s="368"/>
      <c r="I138" s="369"/>
      <c r="J138" s="369"/>
    </row>
    <row r="139" spans="1:10" s="370" customFormat="1" x14ac:dyDescent="0.25">
      <c r="A139" s="377"/>
      <c r="C139" s="370" t="s">
        <v>775</v>
      </c>
      <c r="D139" s="370">
        <v>270000</v>
      </c>
      <c r="E139" s="370">
        <v>1</v>
      </c>
      <c r="F139" s="370">
        <v>3</v>
      </c>
      <c r="G139" s="372">
        <v>810000</v>
      </c>
      <c r="H139" s="368"/>
      <c r="I139" s="369"/>
      <c r="J139" s="369"/>
    </row>
    <row r="140" spans="1:10" s="370" customFormat="1" x14ac:dyDescent="0.25">
      <c r="A140" s="371"/>
      <c r="C140" s="370" t="s">
        <v>771</v>
      </c>
      <c r="D140" s="370">
        <v>100000</v>
      </c>
      <c r="E140" s="370">
        <v>1</v>
      </c>
      <c r="F140" s="370">
        <v>1</v>
      </c>
      <c r="G140" s="372">
        <v>100000</v>
      </c>
      <c r="H140" s="368"/>
      <c r="I140" s="369"/>
      <c r="J140" s="369"/>
    </row>
    <row r="141" spans="1:10" s="370" customFormat="1" x14ac:dyDescent="0.25">
      <c r="A141" s="371"/>
      <c r="C141" s="370" t="s">
        <v>762</v>
      </c>
      <c r="D141" s="370">
        <v>250000</v>
      </c>
      <c r="E141" s="370">
        <v>4</v>
      </c>
      <c r="F141" s="370">
        <v>3</v>
      </c>
      <c r="G141" s="372">
        <v>3000000</v>
      </c>
      <c r="H141" s="368"/>
      <c r="I141" s="369"/>
      <c r="J141" s="369"/>
    </row>
    <row r="142" spans="1:10" s="370" customFormat="1" x14ac:dyDescent="0.25">
      <c r="A142" s="371"/>
      <c r="C142" s="370" t="s">
        <v>763</v>
      </c>
      <c r="D142" s="370">
        <v>100000</v>
      </c>
      <c r="E142" s="370">
        <v>4</v>
      </c>
      <c r="F142" s="370">
        <v>1</v>
      </c>
      <c r="G142" s="372">
        <v>400000</v>
      </c>
      <c r="H142" s="368"/>
      <c r="I142" s="369"/>
      <c r="J142" s="369"/>
    </row>
    <row r="143" spans="1:10" s="370" customFormat="1" x14ac:dyDescent="0.25">
      <c r="A143" s="371"/>
      <c r="C143" s="370" t="s">
        <v>764</v>
      </c>
      <c r="D143" s="370">
        <v>50000</v>
      </c>
      <c r="E143" s="370">
        <v>3</v>
      </c>
      <c r="F143" s="370">
        <v>3</v>
      </c>
      <c r="G143" s="372">
        <v>450000</v>
      </c>
      <c r="H143" s="368"/>
      <c r="I143" s="369"/>
      <c r="J143" s="369"/>
    </row>
    <row r="144" spans="1:10" s="370" customFormat="1" x14ac:dyDescent="0.25">
      <c r="A144" s="371"/>
      <c r="C144" s="370" t="s">
        <v>149</v>
      </c>
      <c r="D144" s="370">
        <v>160000</v>
      </c>
      <c r="E144" s="370">
        <v>1</v>
      </c>
      <c r="F144" s="370">
        <v>3</v>
      </c>
      <c r="G144" s="372">
        <v>480000</v>
      </c>
      <c r="H144" s="368"/>
      <c r="I144" s="369"/>
      <c r="J144" s="369"/>
    </row>
    <row r="145" spans="1:10" s="370" customFormat="1" x14ac:dyDescent="0.25">
      <c r="A145" s="371"/>
      <c r="C145" s="370" t="s">
        <v>798</v>
      </c>
      <c r="D145" s="370">
        <v>8000</v>
      </c>
      <c r="E145" s="370">
        <v>84.375</v>
      </c>
      <c r="F145" s="370">
        <v>1</v>
      </c>
      <c r="G145" s="372">
        <v>675000</v>
      </c>
      <c r="H145" s="368"/>
      <c r="I145" s="369"/>
      <c r="J145" s="369"/>
    </row>
    <row r="146" spans="1:10" s="366" customFormat="1" x14ac:dyDescent="0.25">
      <c r="A146" s="380">
        <v>5.3</v>
      </c>
      <c r="B146" s="381" t="s">
        <v>799</v>
      </c>
      <c r="G146" s="367"/>
      <c r="H146" s="373"/>
      <c r="I146" s="376"/>
      <c r="J146" s="376"/>
    </row>
    <row r="147" spans="1:10" s="370" customFormat="1" x14ac:dyDescent="0.25">
      <c r="A147" s="382" t="s">
        <v>800</v>
      </c>
      <c r="B147" s="383" t="s">
        <v>801</v>
      </c>
      <c r="C147" s="370" t="s">
        <v>775</v>
      </c>
      <c r="D147" s="370">
        <v>270000</v>
      </c>
      <c r="E147" s="370">
        <v>1</v>
      </c>
      <c r="F147" s="370">
        <v>3</v>
      </c>
      <c r="G147" s="372">
        <v>810000</v>
      </c>
      <c r="H147" s="368"/>
      <c r="I147" s="369"/>
      <c r="J147" s="369"/>
    </row>
    <row r="148" spans="1:10" s="370" customFormat="1" x14ac:dyDescent="0.25">
      <c r="A148" s="371"/>
      <c r="C148" s="370" t="s">
        <v>771</v>
      </c>
      <c r="D148" s="370">
        <v>100000</v>
      </c>
      <c r="E148" s="370">
        <v>1</v>
      </c>
      <c r="F148" s="370">
        <v>1</v>
      </c>
      <c r="G148" s="372">
        <v>100000</v>
      </c>
      <c r="H148" s="368"/>
      <c r="I148" s="369"/>
      <c r="J148" s="369"/>
    </row>
    <row r="149" spans="1:10" s="370" customFormat="1" x14ac:dyDescent="0.25">
      <c r="A149" s="371"/>
      <c r="C149" s="370" t="s">
        <v>762</v>
      </c>
      <c r="D149" s="370">
        <v>250000</v>
      </c>
      <c r="E149" s="370">
        <v>4</v>
      </c>
      <c r="F149" s="370">
        <v>3</v>
      </c>
      <c r="G149" s="372">
        <v>3000000</v>
      </c>
      <c r="H149" s="368"/>
      <c r="I149" s="369"/>
      <c r="J149" s="369"/>
    </row>
    <row r="150" spans="1:10" s="370" customFormat="1" x14ac:dyDescent="0.25">
      <c r="A150" s="371"/>
      <c r="C150" s="370" t="s">
        <v>763</v>
      </c>
      <c r="D150" s="370">
        <v>100000</v>
      </c>
      <c r="E150" s="370">
        <v>4</v>
      </c>
      <c r="F150" s="370">
        <v>1</v>
      </c>
      <c r="G150" s="372">
        <v>400000</v>
      </c>
      <c r="H150" s="368"/>
      <c r="I150" s="369"/>
      <c r="J150" s="369"/>
    </row>
    <row r="151" spans="1:10" s="370" customFormat="1" x14ac:dyDescent="0.25">
      <c r="A151" s="371"/>
      <c r="C151" s="370" t="s">
        <v>764</v>
      </c>
      <c r="D151" s="370">
        <v>50000</v>
      </c>
      <c r="E151" s="370">
        <v>3</v>
      </c>
      <c r="F151" s="370">
        <v>3</v>
      </c>
      <c r="G151" s="372">
        <v>450000</v>
      </c>
      <c r="H151" s="368"/>
      <c r="I151" s="369"/>
      <c r="J151" s="369"/>
    </row>
    <row r="152" spans="1:10" s="370" customFormat="1" x14ac:dyDescent="0.25">
      <c r="A152" s="371"/>
      <c r="C152" s="370" t="s">
        <v>149</v>
      </c>
      <c r="D152" s="370">
        <v>160000</v>
      </c>
      <c r="E152" s="370">
        <v>1</v>
      </c>
      <c r="F152" s="370">
        <v>3</v>
      </c>
      <c r="G152" s="372">
        <v>480000</v>
      </c>
      <c r="H152" s="368"/>
      <c r="I152" s="369"/>
      <c r="J152" s="369"/>
    </row>
    <row r="153" spans="1:10" s="370" customFormat="1" x14ac:dyDescent="0.25">
      <c r="A153" s="371"/>
      <c r="C153" s="370" t="s">
        <v>802</v>
      </c>
      <c r="D153" s="370">
        <v>8000</v>
      </c>
      <c r="E153" s="370">
        <v>85.375</v>
      </c>
      <c r="F153" s="370">
        <v>1</v>
      </c>
      <c r="G153" s="372">
        <v>683000</v>
      </c>
      <c r="H153" s="368"/>
      <c r="I153" s="369"/>
      <c r="J153" s="369"/>
    </row>
    <row r="154" spans="1:10" s="370" customFormat="1" x14ac:dyDescent="0.25">
      <c r="A154" s="371"/>
      <c r="C154" s="370" t="s">
        <v>803</v>
      </c>
      <c r="D154" s="370">
        <v>8000</v>
      </c>
      <c r="E154" s="370">
        <v>10.75</v>
      </c>
      <c r="F154" s="370">
        <v>1</v>
      </c>
      <c r="G154" s="372">
        <v>86000</v>
      </c>
      <c r="H154" s="368"/>
      <c r="I154" s="369"/>
      <c r="J154" s="369"/>
    </row>
    <row r="155" spans="1:10" s="370" customFormat="1" x14ac:dyDescent="0.25">
      <c r="A155" s="371"/>
      <c r="G155" s="372"/>
      <c r="H155" s="368"/>
      <c r="I155" s="369"/>
      <c r="J155" s="369"/>
    </row>
    <row r="156" spans="1:10" s="370" customFormat="1" x14ac:dyDescent="0.25">
      <c r="A156" s="382" t="s">
        <v>804</v>
      </c>
      <c r="B156" s="383" t="s">
        <v>781</v>
      </c>
      <c r="C156" s="370" t="s">
        <v>805</v>
      </c>
      <c r="D156" s="370">
        <v>270000</v>
      </c>
      <c r="E156" s="370">
        <v>1</v>
      </c>
      <c r="F156" s="370">
        <v>2</v>
      </c>
      <c r="G156" s="372">
        <v>540000</v>
      </c>
      <c r="H156" s="368"/>
      <c r="I156" s="369"/>
      <c r="J156" s="369"/>
    </row>
    <row r="157" spans="1:10" s="370" customFormat="1" x14ac:dyDescent="0.25">
      <c r="A157" s="371"/>
      <c r="C157" s="370" t="s">
        <v>806</v>
      </c>
      <c r="D157" s="370">
        <v>100000</v>
      </c>
      <c r="E157" s="370">
        <v>1</v>
      </c>
      <c r="F157" s="370">
        <v>1</v>
      </c>
      <c r="G157" s="372">
        <v>100000</v>
      </c>
      <c r="H157" s="368"/>
      <c r="I157" s="369"/>
      <c r="J157" s="369"/>
    </row>
    <row r="158" spans="1:10" s="370" customFormat="1" x14ac:dyDescent="0.25">
      <c r="A158" s="371"/>
      <c r="C158" s="370" t="s">
        <v>762</v>
      </c>
      <c r="D158" s="370">
        <v>250000</v>
      </c>
      <c r="E158" s="370">
        <v>4</v>
      </c>
      <c r="F158" s="370">
        <v>2</v>
      </c>
      <c r="G158" s="372">
        <v>2000000</v>
      </c>
      <c r="H158" s="368"/>
      <c r="I158" s="369"/>
      <c r="J158" s="369"/>
    </row>
    <row r="159" spans="1:10" s="370" customFormat="1" x14ac:dyDescent="0.25">
      <c r="A159" s="371"/>
      <c r="C159" s="370" t="s">
        <v>763</v>
      </c>
      <c r="D159" s="370">
        <v>100000</v>
      </c>
      <c r="E159" s="370">
        <v>4</v>
      </c>
      <c r="F159" s="370">
        <v>1</v>
      </c>
      <c r="G159" s="372">
        <v>400000</v>
      </c>
      <c r="H159" s="368"/>
      <c r="I159" s="369"/>
      <c r="J159" s="369"/>
    </row>
    <row r="160" spans="1:10" s="370" customFormat="1" x14ac:dyDescent="0.25">
      <c r="A160" s="371"/>
      <c r="C160" s="370" t="s">
        <v>764</v>
      </c>
      <c r="D160" s="370">
        <v>50000</v>
      </c>
      <c r="E160" s="370">
        <v>3</v>
      </c>
      <c r="F160" s="370">
        <v>3</v>
      </c>
      <c r="G160" s="372">
        <v>450000</v>
      </c>
      <c r="H160" s="368"/>
      <c r="I160" s="369"/>
      <c r="J160" s="369"/>
    </row>
    <row r="161" spans="1:10" s="370" customFormat="1" x14ac:dyDescent="0.25">
      <c r="A161" s="371"/>
      <c r="C161" s="370" t="s">
        <v>149</v>
      </c>
      <c r="D161" s="370">
        <v>160000</v>
      </c>
      <c r="E161" s="370">
        <v>1</v>
      </c>
      <c r="F161" s="370">
        <v>3</v>
      </c>
      <c r="G161" s="372">
        <v>480000</v>
      </c>
      <c r="H161" s="368"/>
      <c r="I161" s="369"/>
      <c r="J161" s="369"/>
    </row>
    <row r="162" spans="1:10" s="370" customFormat="1" x14ac:dyDescent="0.25">
      <c r="A162" s="371"/>
      <c r="C162" s="370" t="s">
        <v>807</v>
      </c>
      <c r="D162" s="370">
        <v>8000</v>
      </c>
      <c r="E162" s="370">
        <v>9.75</v>
      </c>
      <c r="F162" s="370">
        <v>1</v>
      </c>
      <c r="G162" s="372">
        <v>78000</v>
      </c>
      <c r="H162" s="368"/>
      <c r="I162" s="369"/>
      <c r="J162" s="369"/>
    </row>
    <row r="163" spans="1:10" s="370" customFormat="1" x14ac:dyDescent="0.25">
      <c r="A163" s="371"/>
      <c r="G163" s="372"/>
      <c r="H163" s="368"/>
      <c r="I163" s="369"/>
      <c r="J163" s="369"/>
    </row>
    <row r="164" spans="1:10" s="370" customFormat="1" x14ac:dyDescent="0.25">
      <c r="A164" s="382" t="s">
        <v>808</v>
      </c>
      <c r="B164" s="383" t="s">
        <v>809</v>
      </c>
      <c r="C164" s="370" t="s">
        <v>810</v>
      </c>
      <c r="D164" s="370">
        <v>270000</v>
      </c>
      <c r="E164" s="370">
        <v>1</v>
      </c>
      <c r="F164" s="370">
        <v>2</v>
      </c>
      <c r="G164" s="372">
        <v>540000</v>
      </c>
      <c r="H164" s="368"/>
      <c r="I164" s="369"/>
      <c r="J164" s="369"/>
    </row>
    <row r="165" spans="1:10" s="370" customFormat="1" x14ac:dyDescent="0.25">
      <c r="A165" s="371"/>
      <c r="C165" s="370" t="s">
        <v>811</v>
      </c>
      <c r="D165" s="370">
        <v>100000</v>
      </c>
      <c r="E165" s="370">
        <v>1</v>
      </c>
      <c r="F165" s="370">
        <v>1</v>
      </c>
      <c r="G165" s="372">
        <v>100000</v>
      </c>
      <c r="H165" s="368"/>
      <c r="I165" s="369"/>
      <c r="J165" s="369"/>
    </row>
    <row r="166" spans="1:10" s="370" customFormat="1" x14ac:dyDescent="0.25">
      <c r="A166" s="371"/>
      <c r="C166" s="370" t="s">
        <v>762</v>
      </c>
      <c r="D166" s="370">
        <v>250000</v>
      </c>
      <c r="E166" s="370">
        <v>4</v>
      </c>
      <c r="F166" s="370">
        <v>2</v>
      </c>
      <c r="G166" s="372">
        <v>2000000</v>
      </c>
      <c r="H166" s="368"/>
      <c r="I166" s="369"/>
      <c r="J166" s="369"/>
    </row>
    <row r="167" spans="1:10" s="370" customFormat="1" x14ac:dyDescent="0.25">
      <c r="A167" s="371"/>
      <c r="C167" s="370" t="s">
        <v>763</v>
      </c>
      <c r="D167" s="370">
        <v>100000</v>
      </c>
      <c r="E167" s="370">
        <v>4</v>
      </c>
      <c r="F167" s="370">
        <v>1</v>
      </c>
      <c r="G167" s="372">
        <v>400000</v>
      </c>
      <c r="H167" s="368"/>
      <c r="I167" s="369"/>
      <c r="J167" s="369"/>
    </row>
    <row r="168" spans="1:10" s="370" customFormat="1" x14ac:dyDescent="0.25">
      <c r="A168" s="371"/>
      <c r="C168" s="370" t="s">
        <v>764</v>
      </c>
      <c r="D168" s="370">
        <v>50000</v>
      </c>
      <c r="E168" s="370">
        <v>3</v>
      </c>
      <c r="F168" s="370">
        <v>3</v>
      </c>
      <c r="G168" s="372">
        <v>450000</v>
      </c>
      <c r="H168" s="368"/>
      <c r="I168" s="369"/>
      <c r="J168" s="369"/>
    </row>
    <row r="169" spans="1:10" s="370" customFormat="1" x14ac:dyDescent="0.25">
      <c r="A169" s="371"/>
      <c r="C169" s="370" t="s">
        <v>149</v>
      </c>
      <c r="D169" s="370">
        <v>160000</v>
      </c>
      <c r="E169" s="370">
        <v>1</v>
      </c>
      <c r="F169" s="370">
        <v>3</v>
      </c>
      <c r="G169" s="372">
        <v>480000</v>
      </c>
      <c r="H169" s="368"/>
      <c r="I169" s="369"/>
      <c r="J169" s="369"/>
    </row>
    <row r="170" spans="1:10" s="370" customFormat="1" x14ac:dyDescent="0.25">
      <c r="A170" s="371"/>
      <c r="C170" s="370" t="s">
        <v>812</v>
      </c>
      <c r="D170" s="370">
        <v>8000</v>
      </c>
      <c r="E170" s="370">
        <v>110.875</v>
      </c>
      <c r="F170" s="370">
        <v>1</v>
      </c>
      <c r="G170" s="372">
        <v>887000</v>
      </c>
      <c r="H170" s="368"/>
      <c r="I170" s="369"/>
      <c r="J170" s="369"/>
    </row>
    <row r="171" spans="1:10" s="370" customFormat="1" x14ac:dyDescent="0.25">
      <c r="A171" s="371"/>
      <c r="G171" s="372"/>
      <c r="H171" s="368"/>
      <c r="I171" s="369"/>
      <c r="J171" s="369"/>
    </row>
    <row r="172" spans="1:10" s="370" customFormat="1" x14ac:dyDescent="0.25">
      <c r="A172" s="380">
        <v>6</v>
      </c>
      <c r="B172" s="381" t="s">
        <v>813</v>
      </c>
      <c r="C172" s="370" t="s">
        <v>775</v>
      </c>
      <c r="D172" s="370">
        <v>270000</v>
      </c>
      <c r="E172" s="370">
        <v>1</v>
      </c>
      <c r="F172" s="370">
        <v>4</v>
      </c>
      <c r="G172" s="372">
        <f>D172*E172*F172</f>
        <v>1080000</v>
      </c>
      <c r="H172" s="368"/>
      <c r="I172" s="369"/>
      <c r="J172" s="369"/>
    </row>
    <row r="173" spans="1:10" s="370" customFormat="1" x14ac:dyDescent="0.25">
      <c r="A173" s="371"/>
      <c r="C173" s="370" t="s">
        <v>771</v>
      </c>
      <c r="D173" s="370">
        <v>100000</v>
      </c>
      <c r="E173" s="370">
        <v>1</v>
      </c>
      <c r="F173" s="370">
        <v>1</v>
      </c>
      <c r="G173" s="372">
        <v>100000</v>
      </c>
      <c r="H173" s="368"/>
      <c r="I173" s="369"/>
      <c r="J173" s="369"/>
    </row>
    <row r="174" spans="1:10" s="370" customFormat="1" x14ac:dyDescent="0.25">
      <c r="A174" s="371"/>
      <c r="C174" s="370" t="s">
        <v>762</v>
      </c>
      <c r="D174" s="370">
        <v>250000</v>
      </c>
      <c r="E174" s="370">
        <v>4</v>
      </c>
      <c r="F174" s="370">
        <v>4</v>
      </c>
      <c r="G174" s="372">
        <v>4000000</v>
      </c>
      <c r="H174" s="368"/>
      <c r="I174" s="369"/>
      <c r="J174" s="369"/>
    </row>
    <row r="175" spans="1:10" s="370" customFormat="1" x14ac:dyDescent="0.25">
      <c r="A175" s="371"/>
      <c r="C175" s="370" t="s">
        <v>763</v>
      </c>
      <c r="D175" s="370">
        <v>100000</v>
      </c>
      <c r="E175" s="370">
        <v>4</v>
      </c>
      <c r="F175" s="370">
        <v>1</v>
      </c>
      <c r="G175" s="372">
        <v>400000</v>
      </c>
      <c r="H175" s="368"/>
      <c r="I175" s="369"/>
      <c r="J175" s="369"/>
    </row>
    <row r="176" spans="1:10" s="370" customFormat="1" x14ac:dyDescent="0.25">
      <c r="A176" s="371"/>
      <c r="C176" s="370" t="s">
        <v>764</v>
      </c>
      <c r="D176" s="370">
        <v>50000</v>
      </c>
      <c r="E176" s="370">
        <v>3</v>
      </c>
      <c r="F176" s="370">
        <v>3</v>
      </c>
      <c r="G176" s="372">
        <v>450000</v>
      </c>
      <c r="H176" s="368"/>
      <c r="I176" s="369"/>
      <c r="J176" s="369"/>
    </row>
    <row r="177" spans="1:10" s="370" customFormat="1" x14ac:dyDescent="0.25">
      <c r="A177" s="371"/>
      <c r="C177" s="370" t="s">
        <v>149</v>
      </c>
      <c r="D177" s="370">
        <v>160000</v>
      </c>
      <c r="E177" s="370">
        <v>1</v>
      </c>
      <c r="F177" s="370">
        <v>3</v>
      </c>
      <c r="G177" s="372">
        <v>480000</v>
      </c>
      <c r="H177" s="368"/>
      <c r="I177" s="369"/>
      <c r="J177" s="369"/>
    </row>
    <row r="178" spans="1:10" s="370" customFormat="1" x14ac:dyDescent="0.25">
      <c r="A178" s="371"/>
      <c r="C178" s="370" t="s">
        <v>814</v>
      </c>
      <c r="D178" s="370">
        <v>8000</v>
      </c>
      <c r="E178" s="370">
        <v>12</v>
      </c>
      <c r="F178" s="370">
        <v>2</v>
      </c>
      <c r="G178" s="372">
        <f>D178*E178*F178</f>
        <v>192000</v>
      </c>
      <c r="H178" s="368"/>
      <c r="I178" s="369"/>
      <c r="J178" s="369"/>
    </row>
    <row r="179" spans="1:10" s="370" customFormat="1" x14ac:dyDescent="0.25">
      <c r="A179" s="371"/>
      <c r="G179" s="372"/>
      <c r="H179" s="368"/>
      <c r="I179" s="369"/>
      <c r="J179" s="369"/>
    </row>
    <row r="180" spans="1:10" s="370" customFormat="1" x14ac:dyDescent="0.25">
      <c r="A180" s="380">
        <v>7</v>
      </c>
      <c r="B180" s="381" t="s">
        <v>815</v>
      </c>
      <c r="E180" s="370">
        <v>1</v>
      </c>
      <c r="F180" s="370">
        <v>4</v>
      </c>
      <c r="G180" s="372">
        <v>0</v>
      </c>
      <c r="H180" s="368"/>
      <c r="I180" s="369"/>
      <c r="J180" s="369"/>
    </row>
    <row r="181" spans="1:10" s="370" customFormat="1" x14ac:dyDescent="0.25">
      <c r="A181" s="371"/>
      <c r="C181" s="370" t="s">
        <v>771</v>
      </c>
      <c r="D181" s="370">
        <v>50000</v>
      </c>
      <c r="E181" s="370">
        <v>1</v>
      </c>
      <c r="F181" s="370">
        <v>3</v>
      </c>
      <c r="G181" s="372">
        <f>D181*E181*F181</f>
        <v>150000</v>
      </c>
      <c r="H181" s="368"/>
      <c r="I181" s="369"/>
      <c r="J181" s="369"/>
    </row>
    <row r="182" spans="1:10" s="370" customFormat="1" x14ac:dyDescent="0.25">
      <c r="A182" s="371"/>
      <c r="C182" s="370" t="s">
        <v>762</v>
      </c>
      <c r="E182" s="370">
        <v>4</v>
      </c>
      <c r="F182" s="370">
        <v>4</v>
      </c>
      <c r="G182" s="372">
        <v>0</v>
      </c>
      <c r="H182" s="368"/>
      <c r="I182" s="369"/>
      <c r="J182" s="369"/>
    </row>
    <row r="183" spans="1:10" s="370" customFormat="1" x14ac:dyDescent="0.25">
      <c r="A183" s="371"/>
      <c r="C183" s="370" t="s">
        <v>763</v>
      </c>
      <c r="D183" s="370">
        <v>50000</v>
      </c>
      <c r="E183" s="370">
        <v>4</v>
      </c>
      <c r="F183" s="370">
        <v>3</v>
      </c>
      <c r="G183" s="372">
        <f>D183*E183*F183</f>
        <v>600000</v>
      </c>
      <c r="H183" s="368"/>
      <c r="I183" s="369"/>
      <c r="J183" s="369"/>
    </row>
    <row r="184" spans="1:10" s="370" customFormat="1" x14ac:dyDescent="0.25">
      <c r="A184" s="371"/>
      <c r="C184" s="370" t="s">
        <v>764</v>
      </c>
      <c r="D184" s="370">
        <v>50000</v>
      </c>
      <c r="E184" s="370">
        <v>3</v>
      </c>
      <c r="F184" s="370">
        <v>3</v>
      </c>
      <c r="G184" s="372">
        <v>450000</v>
      </c>
      <c r="H184" s="368"/>
      <c r="I184" s="369"/>
      <c r="J184" s="369"/>
    </row>
    <row r="185" spans="1:10" s="370" customFormat="1" x14ac:dyDescent="0.25">
      <c r="A185" s="371"/>
      <c r="C185" s="370" t="s">
        <v>149</v>
      </c>
      <c r="D185" s="370">
        <v>160000</v>
      </c>
      <c r="E185" s="370">
        <v>1</v>
      </c>
      <c r="F185" s="370">
        <v>3</v>
      </c>
      <c r="G185" s="372">
        <v>480000</v>
      </c>
      <c r="H185" s="368"/>
      <c r="I185" s="369"/>
      <c r="J185" s="369"/>
    </row>
    <row r="186" spans="1:10" s="370" customFormat="1" x14ac:dyDescent="0.25">
      <c r="A186" s="371"/>
      <c r="G186" s="372"/>
      <c r="H186" s="368"/>
      <c r="I186" s="369"/>
      <c r="J186" s="369"/>
    </row>
    <row r="187" spans="1:10" s="366" customFormat="1" x14ac:dyDescent="0.25">
      <c r="A187" s="386">
        <v>8</v>
      </c>
      <c r="B187" s="366" t="s">
        <v>816</v>
      </c>
      <c r="C187" s="366" t="s">
        <v>817</v>
      </c>
      <c r="D187" s="366">
        <v>20000</v>
      </c>
      <c r="E187" s="366">
        <v>35</v>
      </c>
      <c r="F187" s="366">
        <v>1</v>
      </c>
      <c r="G187" s="367">
        <v>700000</v>
      </c>
      <c r="H187" s="373"/>
      <c r="I187" s="376"/>
      <c r="J187" s="376"/>
    </row>
    <row r="188" spans="1:10" s="366" customFormat="1" x14ac:dyDescent="0.25">
      <c r="A188" s="386">
        <v>9</v>
      </c>
      <c r="B188" s="366" t="s">
        <v>818</v>
      </c>
      <c r="C188" s="366" t="s">
        <v>818</v>
      </c>
      <c r="D188" s="366">
        <v>50000</v>
      </c>
      <c r="E188" s="366">
        <v>30</v>
      </c>
      <c r="F188" s="366">
        <v>1</v>
      </c>
      <c r="G188" s="367">
        <f>D188*E188*F188</f>
        <v>1500000</v>
      </c>
      <c r="H188" s="373"/>
      <c r="I188" s="376"/>
      <c r="J188" s="376"/>
    </row>
    <row r="189" spans="1:10" s="370" customFormat="1" x14ac:dyDescent="0.25">
      <c r="A189" s="371"/>
      <c r="C189" s="370" t="s">
        <v>140</v>
      </c>
      <c r="G189" s="378">
        <f>SUM(G43:G188)</f>
        <v>148292666.66666669</v>
      </c>
      <c r="H189" s="373">
        <f>G189/8136</f>
        <v>18226.728941330715</v>
      </c>
      <c r="I189" s="369"/>
      <c r="J189" s="369"/>
    </row>
    <row r="190" spans="1:10" s="370" customFormat="1" x14ac:dyDescent="0.25">
      <c r="A190" s="371"/>
      <c r="G190" s="372"/>
      <c r="H190" s="368"/>
      <c r="I190" s="369"/>
      <c r="J190" s="369"/>
    </row>
    <row r="191" spans="1:10" s="370" customFormat="1" x14ac:dyDescent="0.25">
      <c r="A191" s="371"/>
      <c r="G191" s="372"/>
      <c r="H191" s="368"/>
      <c r="I191" s="369"/>
      <c r="J191" s="369"/>
    </row>
    <row r="192" spans="1:10" s="366" customFormat="1" x14ac:dyDescent="0.25">
      <c r="A192" s="364" t="s">
        <v>819</v>
      </c>
      <c r="B192" s="365" t="s">
        <v>820</v>
      </c>
      <c r="C192" s="365"/>
      <c r="D192" s="365"/>
      <c r="E192" s="365"/>
      <c r="F192" s="365"/>
      <c r="G192" s="378"/>
      <c r="H192" s="373"/>
      <c r="I192" s="376"/>
      <c r="J192" s="376"/>
    </row>
    <row r="193" spans="1:10" s="370" customFormat="1" x14ac:dyDescent="0.25">
      <c r="A193" s="371"/>
      <c r="C193" s="370" t="s">
        <v>821</v>
      </c>
      <c r="D193" s="370">
        <v>2034000</v>
      </c>
      <c r="E193" s="370">
        <v>1</v>
      </c>
      <c r="F193" s="370">
        <v>1</v>
      </c>
      <c r="G193" s="372">
        <v>2034000</v>
      </c>
      <c r="H193" s="368"/>
      <c r="I193" s="369"/>
      <c r="J193" s="369"/>
    </row>
    <row r="194" spans="1:10" s="370" customFormat="1" x14ac:dyDescent="0.25">
      <c r="A194" s="371"/>
      <c r="C194" s="370" t="s">
        <v>822</v>
      </c>
      <c r="D194" s="370">
        <v>5000</v>
      </c>
      <c r="E194" s="370">
        <v>400</v>
      </c>
      <c r="F194" s="370">
        <v>1</v>
      </c>
      <c r="G194" s="372">
        <v>2000000</v>
      </c>
      <c r="H194" s="368"/>
      <c r="I194" s="369"/>
      <c r="J194" s="369"/>
    </row>
    <row r="195" spans="1:10" s="370" customFormat="1" x14ac:dyDescent="0.25">
      <c r="A195" s="371"/>
      <c r="C195" s="370" t="s">
        <v>823</v>
      </c>
      <c r="D195" s="370">
        <v>50000</v>
      </c>
      <c r="E195" s="370">
        <v>50</v>
      </c>
      <c r="F195" s="370">
        <v>1</v>
      </c>
      <c r="G195" s="372">
        <v>2500000</v>
      </c>
      <c r="H195" s="368"/>
      <c r="I195" s="369"/>
      <c r="J195" s="369"/>
    </row>
    <row r="196" spans="1:10" s="370" customFormat="1" x14ac:dyDescent="0.25">
      <c r="A196" s="371"/>
      <c r="C196" s="370" t="s">
        <v>824</v>
      </c>
      <c r="D196" s="370">
        <v>50000</v>
      </c>
      <c r="E196" s="370">
        <v>250</v>
      </c>
      <c r="F196" s="370">
        <v>1</v>
      </c>
      <c r="G196" s="372">
        <v>12500000</v>
      </c>
      <c r="H196" s="368"/>
      <c r="I196" s="369"/>
      <c r="J196" s="369"/>
    </row>
    <row r="197" spans="1:10" s="370" customFormat="1" x14ac:dyDescent="0.25">
      <c r="A197" s="371"/>
      <c r="C197" s="370" t="s">
        <v>140</v>
      </c>
      <c r="G197" s="378">
        <v>19034000</v>
      </c>
      <c r="H197" s="373">
        <f>G197/8136</f>
        <v>2339.4788593903636</v>
      </c>
      <c r="I197" s="369"/>
      <c r="J197" s="369"/>
    </row>
    <row r="198" spans="1:10" s="370" customFormat="1" x14ac:dyDescent="0.25">
      <c r="A198" s="371"/>
      <c r="G198" s="372"/>
      <c r="H198" s="368"/>
      <c r="I198" s="369"/>
      <c r="J198" s="369"/>
    </row>
    <row r="199" spans="1:10" s="366" customFormat="1" ht="24" x14ac:dyDescent="0.25">
      <c r="A199" s="364" t="s">
        <v>825</v>
      </c>
      <c r="B199" s="387" t="s">
        <v>826</v>
      </c>
      <c r="C199" s="365"/>
      <c r="D199" s="365"/>
      <c r="E199" s="365"/>
      <c r="F199" s="365"/>
      <c r="G199" s="378"/>
      <c r="H199" s="373"/>
      <c r="I199" s="376"/>
      <c r="J199" s="376"/>
    </row>
    <row r="200" spans="1:10" s="370" customFormat="1" x14ac:dyDescent="0.25">
      <c r="A200" s="371"/>
      <c r="B200" s="366" t="s">
        <v>827</v>
      </c>
      <c r="C200" s="370" t="s">
        <v>39</v>
      </c>
      <c r="D200" s="370">
        <v>150000</v>
      </c>
      <c r="E200" s="370">
        <v>1</v>
      </c>
      <c r="F200" s="370">
        <v>1</v>
      </c>
      <c r="G200" s="372">
        <v>150000</v>
      </c>
      <c r="H200" s="368"/>
      <c r="I200" s="369"/>
      <c r="J200" s="369"/>
    </row>
    <row r="201" spans="1:10" s="370" customFormat="1" x14ac:dyDescent="0.25">
      <c r="A201" s="371"/>
      <c r="B201" s="366" t="s">
        <v>828</v>
      </c>
      <c r="G201" s="372"/>
      <c r="H201" s="368"/>
      <c r="I201" s="369"/>
      <c r="J201" s="369"/>
    </row>
    <row r="202" spans="1:10" s="366" customFormat="1" x14ac:dyDescent="0.25">
      <c r="A202" s="386"/>
      <c r="B202" s="366" t="s">
        <v>829</v>
      </c>
      <c r="C202" s="366" t="s">
        <v>445</v>
      </c>
      <c r="D202" s="366">
        <v>170000</v>
      </c>
      <c r="E202" s="366">
        <v>1</v>
      </c>
      <c r="F202" s="366">
        <v>2</v>
      </c>
      <c r="G202" s="367">
        <f>D202*E202*F202</f>
        <v>340000</v>
      </c>
      <c r="H202" s="373"/>
      <c r="I202" s="376"/>
      <c r="J202" s="376"/>
    </row>
    <row r="203" spans="1:10" s="366" customFormat="1" x14ac:dyDescent="0.25">
      <c r="A203" s="386"/>
      <c r="C203" s="366" t="s">
        <v>446</v>
      </c>
      <c r="D203" s="366">
        <v>100000</v>
      </c>
      <c r="E203" s="366">
        <v>1</v>
      </c>
      <c r="F203" s="366">
        <v>3</v>
      </c>
      <c r="G203" s="367">
        <f>D203*E203*F203</f>
        <v>300000</v>
      </c>
      <c r="H203" s="373"/>
      <c r="I203" s="376"/>
      <c r="J203" s="376"/>
    </row>
    <row r="204" spans="1:10" s="366" customFormat="1" x14ac:dyDescent="0.25">
      <c r="A204" s="386"/>
      <c r="C204" s="366" t="s">
        <v>830</v>
      </c>
      <c r="D204" s="366">
        <v>150000</v>
      </c>
      <c r="E204" s="366">
        <v>17</v>
      </c>
      <c r="F204" s="366">
        <v>2</v>
      </c>
      <c r="G204" s="367">
        <f t="shared" ref="G204:G228" si="0">D204*E204*F204</f>
        <v>5100000</v>
      </c>
      <c r="H204" s="373"/>
      <c r="I204" s="376"/>
      <c r="J204" s="376"/>
    </row>
    <row r="205" spans="1:10" s="366" customFormat="1" x14ac:dyDescent="0.25">
      <c r="A205" s="386"/>
      <c r="C205" s="366" t="s">
        <v>831</v>
      </c>
      <c r="D205" s="366">
        <v>100000</v>
      </c>
      <c r="E205" s="366">
        <v>17</v>
      </c>
      <c r="F205" s="366">
        <v>3</v>
      </c>
      <c r="G205" s="367">
        <f t="shared" si="0"/>
        <v>5100000</v>
      </c>
      <c r="H205" s="373"/>
      <c r="I205" s="376"/>
      <c r="J205" s="376"/>
    </row>
    <row r="206" spans="1:10" s="366" customFormat="1" x14ac:dyDescent="0.25">
      <c r="A206" s="386"/>
      <c r="C206" s="366" t="s">
        <v>750</v>
      </c>
      <c r="D206" s="366">
        <v>150000</v>
      </c>
      <c r="E206" s="366">
        <v>4</v>
      </c>
      <c r="F206" s="366">
        <v>2</v>
      </c>
      <c r="G206" s="367">
        <f t="shared" si="0"/>
        <v>1200000</v>
      </c>
      <c r="H206" s="373"/>
      <c r="I206" s="376"/>
      <c r="J206" s="376"/>
    </row>
    <row r="207" spans="1:10" s="366" customFormat="1" x14ac:dyDescent="0.25">
      <c r="A207" s="386"/>
      <c r="C207" s="366" t="s">
        <v>832</v>
      </c>
      <c r="D207" s="366">
        <v>100000</v>
      </c>
      <c r="E207" s="366">
        <v>4</v>
      </c>
      <c r="F207" s="366">
        <v>3</v>
      </c>
      <c r="G207" s="367">
        <f t="shared" si="0"/>
        <v>1200000</v>
      </c>
      <c r="H207" s="373"/>
      <c r="I207" s="376"/>
      <c r="J207" s="376"/>
    </row>
    <row r="208" spans="1:10" s="366" customFormat="1" x14ac:dyDescent="0.25">
      <c r="A208" s="386"/>
      <c r="G208" s="367"/>
      <c r="H208" s="373"/>
      <c r="I208" s="376"/>
      <c r="J208" s="376"/>
    </row>
    <row r="209" spans="1:10" s="366" customFormat="1" x14ac:dyDescent="0.25">
      <c r="A209" s="386"/>
      <c r="C209" s="366" t="s">
        <v>833</v>
      </c>
      <c r="D209" s="366">
        <v>150000</v>
      </c>
      <c r="E209" s="366">
        <v>20</v>
      </c>
      <c r="F209" s="366">
        <v>2</v>
      </c>
      <c r="G209" s="367">
        <f>D209*E209*F209</f>
        <v>6000000</v>
      </c>
      <c r="H209" s="373"/>
      <c r="I209" s="376"/>
      <c r="J209" s="376"/>
    </row>
    <row r="210" spans="1:10" s="366" customFormat="1" x14ac:dyDescent="0.25">
      <c r="A210" s="386"/>
      <c r="C210" s="366" t="s">
        <v>834</v>
      </c>
      <c r="D210" s="366">
        <v>100000</v>
      </c>
      <c r="E210" s="366">
        <v>20</v>
      </c>
      <c r="F210" s="366">
        <v>3</v>
      </c>
      <c r="G210" s="367">
        <f t="shared" ref="G210:G216" si="1">D210*E210*F210</f>
        <v>6000000</v>
      </c>
      <c r="H210" s="373"/>
      <c r="I210" s="376"/>
      <c r="J210" s="376"/>
    </row>
    <row r="211" spans="1:10" s="366" customFormat="1" x14ac:dyDescent="0.25">
      <c r="A211" s="386"/>
      <c r="C211" s="366" t="s">
        <v>835</v>
      </c>
      <c r="D211" s="366">
        <v>170000</v>
      </c>
      <c r="E211" s="366">
        <v>4</v>
      </c>
      <c r="F211" s="366">
        <v>2</v>
      </c>
      <c r="G211" s="367">
        <f t="shared" si="1"/>
        <v>1360000</v>
      </c>
      <c r="H211" s="373"/>
      <c r="I211" s="376"/>
      <c r="J211" s="376"/>
    </row>
    <row r="212" spans="1:10" s="366" customFormat="1" x14ac:dyDescent="0.25">
      <c r="A212" s="386"/>
      <c r="C212" s="366" t="s">
        <v>836</v>
      </c>
      <c r="D212" s="366">
        <v>100000</v>
      </c>
      <c r="E212" s="366">
        <v>4</v>
      </c>
      <c r="F212" s="366">
        <v>3</v>
      </c>
      <c r="G212" s="367">
        <f t="shared" si="1"/>
        <v>1200000</v>
      </c>
      <c r="H212" s="373"/>
      <c r="I212" s="376"/>
      <c r="J212" s="376"/>
    </row>
    <row r="213" spans="1:10" s="366" customFormat="1" x14ac:dyDescent="0.25">
      <c r="A213" s="386"/>
      <c r="C213" s="366" t="s">
        <v>837</v>
      </c>
      <c r="D213" s="366">
        <v>150000</v>
      </c>
      <c r="E213" s="366">
        <v>4</v>
      </c>
      <c r="F213" s="366">
        <v>2</v>
      </c>
      <c r="G213" s="367">
        <f t="shared" si="1"/>
        <v>1200000</v>
      </c>
      <c r="H213" s="373"/>
      <c r="I213" s="376"/>
      <c r="J213" s="376"/>
    </row>
    <row r="214" spans="1:10" s="366" customFormat="1" x14ac:dyDescent="0.25">
      <c r="A214" s="386"/>
      <c r="C214" s="366" t="s">
        <v>838</v>
      </c>
      <c r="D214" s="367">
        <v>100000</v>
      </c>
      <c r="E214" s="366">
        <v>4</v>
      </c>
      <c r="F214" s="366">
        <v>3</v>
      </c>
      <c r="G214" s="367">
        <f t="shared" si="1"/>
        <v>1200000</v>
      </c>
      <c r="H214" s="373"/>
      <c r="I214" s="376"/>
      <c r="J214" s="376"/>
    </row>
    <row r="215" spans="1:10" s="366" customFormat="1" x14ac:dyDescent="0.25">
      <c r="A215" s="386"/>
      <c r="C215" s="366" t="s">
        <v>839</v>
      </c>
      <c r="D215" s="367">
        <v>150000</v>
      </c>
      <c r="E215" s="366">
        <v>6</v>
      </c>
      <c r="F215" s="366">
        <v>2</v>
      </c>
      <c r="G215" s="367">
        <f t="shared" si="1"/>
        <v>1800000</v>
      </c>
      <c r="H215" s="373"/>
      <c r="I215" s="376"/>
      <c r="J215" s="376"/>
    </row>
    <row r="216" spans="1:10" s="366" customFormat="1" x14ac:dyDescent="0.25">
      <c r="A216" s="386"/>
      <c r="C216" s="366" t="s">
        <v>840</v>
      </c>
      <c r="D216" s="367">
        <v>100000</v>
      </c>
      <c r="E216" s="366">
        <v>6</v>
      </c>
      <c r="F216" s="366">
        <v>3</v>
      </c>
      <c r="G216" s="367">
        <f t="shared" si="1"/>
        <v>1800000</v>
      </c>
      <c r="H216" s="373"/>
      <c r="I216" s="376"/>
      <c r="J216" s="376"/>
    </row>
    <row r="217" spans="1:10" s="366" customFormat="1" x14ac:dyDescent="0.25">
      <c r="A217" s="386"/>
      <c r="D217" s="367"/>
      <c r="G217" s="367"/>
      <c r="H217" s="373"/>
      <c r="I217" s="376"/>
      <c r="J217" s="376"/>
    </row>
    <row r="218" spans="1:10" s="366" customFormat="1" x14ac:dyDescent="0.25">
      <c r="A218" s="386"/>
      <c r="C218" s="366" t="s">
        <v>841</v>
      </c>
      <c r="D218" s="367">
        <v>170000</v>
      </c>
      <c r="E218" s="366">
        <v>1</v>
      </c>
      <c r="F218" s="366">
        <v>2</v>
      </c>
      <c r="G218" s="367">
        <f t="shared" si="0"/>
        <v>340000</v>
      </c>
      <c r="H218" s="373"/>
      <c r="I218" s="376"/>
      <c r="J218" s="376"/>
    </row>
    <row r="219" spans="1:10" s="366" customFormat="1" x14ac:dyDescent="0.25">
      <c r="A219" s="386"/>
      <c r="C219" s="366" t="s">
        <v>842</v>
      </c>
      <c r="D219" s="367">
        <v>100000</v>
      </c>
      <c r="E219" s="366">
        <v>1</v>
      </c>
      <c r="F219" s="366">
        <v>3</v>
      </c>
      <c r="G219" s="367">
        <f t="shared" si="0"/>
        <v>300000</v>
      </c>
      <c r="H219" s="373"/>
      <c r="I219" s="376"/>
      <c r="J219" s="376"/>
    </row>
    <row r="220" spans="1:10" s="366" customFormat="1" x14ac:dyDescent="0.25">
      <c r="A220" s="386"/>
      <c r="C220" s="366" t="s">
        <v>843</v>
      </c>
      <c r="D220" s="367">
        <v>150000</v>
      </c>
      <c r="E220" s="366">
        <v>7</v>
      </c>
      <c r="F220" s="366">
        <v>2</v>
      </c>
      <c r="G220" s="367">
        <f t="shared" si="0"/>
        <v>2100000</v>
      </c>
      <c r="H220" s="373"/>
      <c r="I220" s="376"/>
      <c r="J220" s="376"/>
    </row>
    <row r="221" spans="1:10" s="366" customFormat="1" x14ac:dyDescent="0.25">
      <c r="A221" s="386"/>
      <c r="C221" s="366" t="s">
        <v>844</v>
      </c>
      <c r="D221" s="367">
        <v>100000</v>
      </c>
      <c r="E221" s="366">
        <v>7</v>
      </c>
      <c r="F221" s="366">
        <v>3</v>
      </c>
      <c r="G221" s="367">
        <f t="shared" si="0"/>
        <v>2100000</v>
      </c>
      <c r="H221" s="373"/>
      <c r="I221" s="376"/>
      <c r="J221" s="376"/>
    </row>
    <row r="222" spans="1:10" s="366" customFormat="1" x14ac:dyDescent="0.25">
      <c r="A222" s="386"/>
      <c r="C222" s="366" t="s">
        <v>845</v>
      </c>
      <c r="D222" s="367">
        <v>150000</v>
      </c>
      <c r="E222" s="366">
        <v>1</v>
      </c>
      <c r="F222" s="366">
        <v>2</v>
      </c>
      <c r="G222" s="367">
        <f t="shared" si="0"/>
        <v>300000</v>
      </c>
      <c r="H222" s="373"/>
      <c r="I222" s="376"/>
      <c r="J222" s="376"/>
    </row>
    <row r="223" spans="1:10" s="366" customFormat="1" x14ac:dyDescent="0.25">
      <c r="A223" s="386"/>
      <c r="C223" s="366" t="s">
        <v>846</v>
      </c>
      <c r="D223" s="367">
        <v>100000</v>
      </c>
      <c r="E223" s="366">
        <v>1</v>
      </c>
      <c r="F223" s="366">
        <v>3</v>
      </c>
      <c r="G223" s="367">
        <f t="shared" si="0"/>
        <v>300000</v>
      </c>
      <c r="H223" s="373"/>
      <c r="I223" s="376"/>
      <c r="J223" s="376"/>
    </row>
    <row r="224" spans="1:10" s="366" customFormat="1" x14ac:dyDescent="0.25">
      <c r="A224" s="386"/>
      <c r="C224" s="366" t="s">
        <v>847</v>
      </c>
      <c r="D224" s="367">
        <v>170000</v>
      </c>
      <c r="E224" s="366">
        <v>3</v>
      </c>
      <c r="F224" s="366">
        <v>3</v>
      </c>
      <c r="G224" s="367">
        <f t="shared" si="0"/>
        <v>1530000</v>
      </c>
      <c r="H224" s="373"/>
      <c r="I224" s="376"/>
      <c r="J224" s="376"/>
    </row>
    <row r="225" spans="1:10" s="366" customFormat="1" x14ac:dyDescent="0.25">
      <c r="A225" s="386"/>
      <c r="C225" s="366" t="s">
        <v>848</v>
      </c>
      <c r="D225" s="367">
        <v>100000</v>
      </c>
      <c r="E225" s="366">
        <v>3</v>
      </c>
      <c r="F225" s="366">
        <v>4</v>
      </c>
      <c r="G225" s="367">
        <f t="shared" si="0"/>
        <v>1200000</v>
      </c>
      <c r="H225" s="373"/>
      <c r="I225" s="376"/>
      <c r="J225" s="376"/>
    </row>
    <row r="226" spans="1:10" s="366" customFormat="1" x14ac:dyDescent="0.25">
      <c r="A226" s="386"/>
      <c r="C226" s="366" t="s">
        <v>849</v>
      </c>
      <c r="D226" s="367">
        <v>150000</v>
      </c>
      <c r="E226" s="366">
        <v>6</v>
      </c>
      <c r="F226" s="366">
        <v>3</v>
      </c>
      <c r="G226" s="367">
        <f t="shared" si="0"/>
        <v>2700000</v>
      </c>
      <c r="H226" s="373"/>
      <c r="I226" s="376"/>
      <c r="J226" s="376"/>
    </row>
    <row r="227" spans="1:10" s="366" customFormat="1" x14ac:dyDescent="0.25">
      <c r="A227" s="386"/>
      <c r="C227" s="366" t="s">
        <v>850</v>
      </c>
      <c r="D227" s="367">
        <v>100000</v>
      </c>
      <c r="E227" s="366">
        <v>6</v>
      </c>
      <c r="F227" s="366">
        <v>4</v>
      </c>
      <c r="G227" s="367">
        <f t="shared" si="0"/>
        <v>2400000</v>
      </c>
      <c r="H227" s="373"/>
      <c r="I227" s="376"/>
      <c r="J227" s="376"/>
    </row>
    <row r="228" spans="1:10" s="366" customFormat="1" x14ac:dyDescent="0.25">
      <c r="A228" s="386"/>
      <c r="C228" s="366" t="s">
        <v>851</v>
      </c>
      <c r="D228" s="367">
        <v>150000</v>
      </c>
      <c r="E228" s="366">
        <v>3</v>
      </c>
      <c r="F228" s="366">
        <v>3</v>
      </c>
      <c r="G228" s="367">
        <f t="shared" si="0"/>
        <v>1350000</v>
      </c>
      <c r="H228" s="373"/>
      <c r="I228" s="376"/>
      <c r="J228" s="376"/>
    </row>
    <row r="229" spans="1:10" s="366" customFormat="1" ht="24" x14ac:dyDescent="0.25">
      <c r="A229" s="386"/>
      <c r="C229" s="388" t="s">
        <v>852</v>
      </c>
      <c r="D229" s="367">
        <v>100000</v>
      </c>
      <c r="E229" s="366">
        <v>3</v>
      </c>
      <c r="F229" s="366">
        <v>4</v>
      </c>
      <c r="G229" s="367">
        <f>D229*E229*F229</f>
        <v>1200000</v>
      </c>
      <c r="H229" s="373"/>
      <c r="I229" s="376"/>
      <c r="J229" s="376"/>
    </row>
    <row r="230" spans="1:10" s="366" customFormat="1" x14ac:dyDescent="0.25">
      <c r="A230" s="386"/>
      <c r="D230" s="367"/>
      <c r="G230" s="367"/>
      <c r="H230" s="373"/>
      <c r="I230" s="376"/>
      <c r="J230" s="376"/>
    </row>
    <row r="231" spans="1:10" s="366" customFormat="1" x14ac:dyDescent="0.25">
      <c r="A231" s="386"/>
      <c r="C231" s="366" t="s">
        <v>853</v>
      </c>
      <c r="D231" s="367">
        <f>8000*24</f>
        <v>192000</v>
      </c>
      <c r="E231" s="366">
        <v>1</v>
      </c>
      <c r="F231" s="366">
        <v>1</v>
      </c>
      <c r="G231" s="367">
        <f>D231*E231*F231</f>
        <v>192000</v>
      </c>
      <c r="H231" s="373"/>
      <c r="I231" s="376"/>
      <c r="J231" s="376"/>
    </row>
    <row r="232" spans="1:10" s="366" customFormat="1" x14ac:dyDescent="0.25">
      <c r="A232" s="386"/>
      <c r="C232" s="366" t="s">
        <v>854</v>
      </c>
      <c r="D232" s="366">
        <v>8000</v>
      </c>
      <c r="E232" s="366">
        <v>70.599999999999994</v>
      </c>
      <c r="F232" s="366">
        <v>2</v>
      </c>
      <c r="G232" s="367">
        <f t="shared" ref="G232:G239" si="2">D232*E232*F232</f>
        <v>1129600</v>
      </c>
      <c r="H232" s="373"/>
      <c r="I232" s="376"/>
      <c r="J232" s="376"/>
    </row>
    <row r="233" spans="1:10" s="366" customFormat="1" x14ac:dyDescent="0.25">
      <c r="A233" s="386"/>
      <c r="C233" s="366" t="s">
        <v>855</v>
      </c>
      <c r="D233" s="366">
        <v>8000</v>
      </c>
      <c r="E233" s="366">
        <v>97.25</v>
      </c>
      <c r="F233" s="366">
        <v>2</v>
      </c>
      <c r="G233" s="367">
        <f t="shared" si="2"/>
        <v>1556000</v>
      </c>
      <c r="H233" s="373"/>
      <c r="I233" s="376"/>
      <c r="J233" s="376"/>
    </row>
    <row r="234" spans="1:10" s="366" customFormat="1" x14ac:dyDescent="0.25">
      <c r="A234" s="386"/>
      <c r="C234" s="366" t="s">
        <v>856</v>
      </c>
      <c r="D234" s="366">
        <v>8000</v>
      </c>
      <c r="E234" s="366">
        <v>61</v>
      </c>
      <c r="F234" s="366">
        <v>2</v>
      </c>
      <c r="G234" s="367">
        <f t="shared" si="2"/>
        <v>976000</v>
      </c>
      <c r="H234" s="373"/>
      <c r="I234" s="376"/>
      <c r="J234" s="376"/>
    </row>
    <row r="235" spans="1:10" s="366" customFormat="1" x14ac:dyDescent="0.25">
      <c r="A235" s="386"/>
      <c r="C235" s="366" t="s">
        <v>755</v>
      </c>
      <c r="D235" s="366">
        <v>192000</v>
      </c>
      <c r="E235" s="366">
        <v>4</v>
      </c>
      <c r="F235" s="366">
        <v>1</v>
      </c>
      <c r="G235" s="367">
        <f t="shared" si="2"/>
        <v>768000</v>
      </c>
      <c r="H235" s="373"/>
      <c r="I235" s="376"/>
      <c r="J235" s="376"/>
    </row>
    <row r="236" spans="1:10" s="366" customFormat="1" x14ac:dyDescent="0.25">
      <c r="A236" s="386"/>
      <c r="C236" s="366" t="s">
        <v>857</v>
      </c>
      <c r="D236" s="366">
        <v>192000</v>
      </c>
      <c r="E236" s="366">
        <v>4</v>
      </c>
      <c r="F236" s="366">
        <v>1</v>
      </c>
      <c r="G236" s="367">
        <f t="shared" si="2"/>
        <v>768000</v>
      </c>
      <c r="H236" s="373"/>
      <c r="I236" s="376"/>
      <c r="J236" s="376"/>
    </row>
    <row r="237" spans="1:10" s="366" customFormat="1" x14ac:dyDescent="0.25">
      <c r="A237" s="386"/>
      <c r="C237" s="366" t="s">
        <v>858</v>
      </c>
      <c r="D237" s="366">
        <v>160000</v>
      </c>
      <c r="E237" s="366">
        <v>3</v>
      </c>
      <c r="F237" s="366">
        <v>1</v>
      </c>
      <c r="G237" s="367">
        <v>480000</v>
      </c>
      <c r="H237" s="373"/>
      <c r="I237" s="376"/>
      <c r="J237" s="376"/>
    </row>
    <row r="238" spans="1:10" s="366" customFormat="1" x14ac:dyDescent="0.25">
      <c r="A238" s="386"/>
      <c r="C238" s="366" t="s">
        <v>859</v>
      </c>
      <c r="D238" s="366">
        <v>160000</v>
      </c>
      <c r="E238" s="366">
        <v>4</v>
      </c>
      <c r="F238" s="366">
        <v>1</v>
      </c>
      <c r="G238" s="367">
        <v>640000</v>
      </c>
      <c r="H238" s="373"/>
      <c r="I238" s="376"/>
      <c r="J238" s="376"/>
    </row>
    <row r="239" spans="1:10" s="366" customFormat="1" x14ac:dyDescent="0.25">
      <c r="A239" s="386"/>
      <c r="C239" s="366" t="s">
        <v>860</v>
      </c>
      <c r="D239" s="366">
        <v>160000</v>
      </c>
      <c r="E239" s="366">
        <v>4</v>
      </c>
      <c r="F239" s="366">
        <v>1</v>
      </c>
      <c r="G239" s="367">
        <f t="shared" si="2"/>
        <v>640000</v>
      </c>
      <c r="H239" s="373"/>
      <c r="I239" s="376"/>
      <c r="J239" s="376"/>
    </row>
    <row r="240" spans="1:10" s="366" customFormat="1" x14ac:dyDescent="0.25">
      <c r="A240" s="386"/>
      <c r="G240" s="367"/>
      <c r="H240" s="373"/>
      <c r="I240" s="376"/>
      <c r="J240" s="376"/>
    </row>
    <row r="241" spans="1:10" s="366" customFormat="1" x14ac:dyDescent="0.25">
      <c r="A241" s="386"/>
      <c r="C241" s="366" t="s">
        <v>861</v>
      </c>
      <c r="D241" s="366">
        <v>1200000</v>
      </c>
      <c r="E241" s="366">
        <v>1</v>
      </c>
      <c r="F241" s="366">
        <v>2</v>
      </c>
      <c r="G241" s="367">
        <v>2400000</v>
      </c>
      <c r="H241" s="373"/>
      <c r="I241" s="376"/>
      <c r="J241" s="376"/>
    </row>
    <row r="242" spans="1:10" s="366" customFormat="1" x14ac:dyDescent="0.25">
      <c r="A242" s="386"/>
      <c r="C242" s="366" t="s">
        <v>862</v>
      </c>
      <c r="D242" s="366">
        <v>1000000</v>
      </c>
      <c r="E242" s="366">
        <v>1</v>
      </c>
      <c r="F242" s="366">
        <v>2</v>
      </c>
      <c r="G242" s="367">
        <v>4000000</v>
      </c>
      <c r="H242" s="373"/>
      <c r="I242" s="376"/>
      <c r="J242" s="376"/>
    </row>
    <row r="243" spans="1:10" s="366" customFormat="1" x14ac:dyDescent="0.25">
      <c r="A243" s="386"/>
      <c r="C243" s="366" t="s">
        <v>97</v>
      </c>
      <c r="D243" s="366">
        <v>20000</v>
      </c>
      <c r="E243" s="366">
        <v>65</v>
      </c>
      <c r="F243" s="366">
        <v>2</v>
      </c>
      <c r="G243" s="367">
        <v>2600000</v>
      </c>
      <c r="H243" s="373"/>
      <c r="I243" s="376"/>
      <c r="J243" s="376"/>
    </row>
    <row r="244" spans="1:10" s="366" customFormat="1" x14ac:dyDescent="0.25">
      <c r="A244" s="386"/>
      <c r="C244" s="366" t="s">
        <v>756</v>
      </c>
      <c r="D244" s="366">
        <v>400000</v>
      </c>
      <c r="E244" s="366">
        <v>1</v>
      </c>
      <c r="F244" s="366">
        <v>1</v>
      </c>
      <c r="G244" s="367">
        <v>400000</v>
      </c>
      <c r="H244" s="373"/>
      <c r="I244" s="376"/>
      <c r="J244" s="376"/>
    </row>
    <row r="245" spans="1:10" s="366" customFormat="1" x14ac:dyDescent="0.25">
      <c r="A245" s="386"/>
      <c r="C245" s="366" t="s">
        <v>57</v>
      </c>
      <c r="D245" s="366">
        <v>40000</v>
      </c>
      <c r="E245" s="366">
        <v>7</v>
      </c>
      <c r="F245" s="366">
        <v>2</v>
      </c>
      <c r="G245" s="367">
        <v>560000</v>
      </c>
      <c r="H245" s="373"/>
      <c r="I245" s="376"/>
      <c r="J245" s="376"/>
    </row>
    <row r="246" spans="1:10" s="366" customFormat="1" x14ac:dyDescent="0.25">
      <c r="A246" s="386"/>
      <c r="C246" s="366" t="s">
        <v>59</v>
      </c>
      <c r="D246" s="366">
        <v>50000</v>
      </c>
      <c r="E246" s="366">
        <v>50</v>
      </c>
      <c r="F246" s="366">
        <v>1</v>
      </c>
      <c r="G246" s="367">
        <v>2500000</v>
      </c>
      <c r="H246" s="373"/>
      <c r="I246" s="376"/>
      <c r="J246" s="376"/>
    </row>
    <row r="247" spans="1:10" s="366" customFormat="1" x14ac:dyDescent="0.25">
      <c r="A247" s="386"/>
      <c r="C247" s="366" t="s">
        <v>137</v>
      </c>
      <c r="D247" s="366">
        <v>20000</v>
      </c>
      <c r="E247" s="366">
        <v>65</v>
      </c>
      <c r="F247" s="366">
        <v>1</v>
      </c>
      <c r="G247" s="367">
        <f>D247*E247*F247</f>
        <v>1300000</v>
      </c>
      <c r="H247" s="373"/>
      <c r="I247" s="376"/>
      <c r="J247" s="376"/>
    </row>
    <row r="248" spans="1:10" s="370" customFormat="1" x14ac:dyDescent="0.25">
      <c r="A248" s="371"/>
      <c r="C248" s="370" t="s">
        <v>140</v>
      </c>
      <c r="G248" s="389">
        <f>SUM(G200:G247)</f>
        <v>70679600</v>
      </c>
      <c r="H248" s="373">
        <f>G248/8136</f>
        <v>8687.2664700098321</v>
      </c>
      <c r="I248" s="369"/>
      <c r="J248" s="369"/>
    </row>
    <row r="249" spans="1:10" s="370" customFormat="1" x14ac:dyDescent="0.25">
      <c r="A249" s="371"/>
      <c r="G249" s="372"/>
      <c r="H249" s="368"/>
      <c r="I249" s="369"/>
      <c r="J249" s="369"/>
    </row>
    <row r="250" spans="1:10" s="366" customFormat="1" x14ac:dyDescent="0.25">
      <c r="A250" s="364" t="s">
        <v>863</v>
      </c>
      <c r="B250" s="365" t="s">
        <v>864</v>
      </c>
      <c r="C250" s="365"/>
      <c r="D250" s="365"/>
      <c r="E250" s="365"/>
      <c r="F250" s="365"/>
      <c r="G250" s="378"/>
      <c r="H250" s="373"/>
      <c r="I250" s="376"/>
      <c r="J250" s="376"/>
    </row>
    <row r="251" spans="1:10" s="366" customFormat="1" x14ac:dyDescent="0.25">
      <c r="A251" s="386"/>
      <c r="B251" s="366" t="s">
        <v>865</v>
      </c>
      <c r="C251" s="366" t="s">
        <v>39</v>
      </c>
      <c r="D251" s="367">
        <v>150000</v>
      </c>
      <c r="E251" s="366">
        <v>1</v>
      </c>
      <c r="F251" s="366">
        <v>1</v>
      </c>
      <c r="G251" s="367">
        <v>150000</v>
      </c>
      <c r="H251" s="373"/>
      <c r="I251" s="376"/>
      <c r="J251" s="376"/>
    </row>
    <row r="252" spans="1:10" s="366" customFormat="1" x14ac:dyDescent="0.25">
      <c r="A252" s="386"/>
      <c r="B252" s="366" t="s">
        <v>866</v>
      </c>
      <c r="C252" s="366" t="s">
        <v>867</v>
      </c>
      <c r="D252" s="367">
        <v>170000</v>
      </c>
      <c r="E252" s="366">
        <v>2</v>
      </c>
      <c r="F252" s="366">
        <v>5</v>
      </c>
      <c r="G252" s="367">
        <f>D252*E252*F252</f>
        <v>1700000</v>
      </c>
      <c r="H252" s="373"/>
      <c r="I252" s="376"/>
      <c r="J252" s="376"/>
    </row>
    <row r="253" spans="1:10" s="366" customFormat="1" x14ac:dyDescent="0.25">
      <c r="A253" s="386"/>
      <c r="B253" s="366" t="s">
        <v>868</v>
      </c>
      <c r="C253" s="366" t="s">
        <v>869</v>
      </c>
      <c r="D253" s="367">
        <v>100000</v>
      </c>
      <c r="E253" s="366">
        <v>2</v>
      </c>
      <c r="F253" s="366">
        <v>6</v>
      </c>
      <c r="G253" s="367">
        <f>D253*E253*F253</f>
        <v>1200000</v>
      </c>
      <c r="H253" s="373"/>
      <c r="I253" s="376"/>
      <c r="J253" s="376"/>
    </row>
    <row r="254" spans="1:10" s="366" customFormat="1" x14ac:dyDescent="0.25">
      <c r="A254" s="386"/>
      <c r="B254" s="366" t="s">
        <v>870</v>
      </c>
      <c r="C254" s="366" t="s">
        <v>830</v>
      </c>
      <c r="D254" s="367">
        <v>150000</v>
      </c>
      <c r="E254" s="366">
        <v>17</v>
      </c>
      <c r="F254" s="366">
        <v>5</v>
      </c>
      <c r="G254" s="367">
        <f>D254*E254*F254</f>
        <v>12750000</v>
      </c>
      <c r="H254" s="373"/>
      <c r="I254" s="376"/>
      <c r="J254" s="376"/>
    </row>
    <row r="255" spans="1:10" s="366" customFormat="1" x14ac:dyDescent="0.25">
      <c r="A255" s="386"/>
      <c r="B255" s="366" t="s">
        <v>871</v>
      </c>
      <c r="C255" s="366" t="s">
        <v>831</v>
      </c>
      <c r="D255" s="367">
        <v>100000</v>
      </c>
      <c r="E255" s="366">
        <v>17</v>
      </c>
      <c r="F255" s="366">
        <v>6</v>
      </c>
      <c r="G255" s="367">
        <f t="shared" ref="G255:G257" si="3">D255*E255*F255</f>
        <v>10200000</v>
      </c>
      <c r="H255" s="373"/>
      <c r="I255" s="376"/>
      <c r="J255" s="376"/>
    </row>
    <row r="256" spans="1:10" s="366" customFormat="1" x14ac:dyDescent="0.25">
      <c r="A256" s="386"/>
      <c r="B256" s="366" t="s">
        <v>872</v>
      </c>
      <c r="C256" s="366" t="s">
        <v>750</v>
      </c>
      <c r="D256" s="367">
        <v>150000</v>
      </c>
      <c r="E256" s="366">
        <v>4</v>
      </c>
      <c r="F256" s="366">
        <v>5</v>
      </c>
      <c r="G256" s="367">
        <f t="shared" si="3"/>
        <v>3000000</v>
      </c>
      <c r="H256" s="373"/>
      <c r="I256" s="376"/>
      <c r="J256" s="376"/>
    </row>
    <row r="257" spans="1:10" s="366" customFormat="1" x14ac:dyDescent="0.25">
      <c r="A257" s="386"/>
      <c r="B257" s="366" t="s">
        <v>873</v>
      </c>
      <c r="C257" s="366" t="s">
        <v>832</v>
      </c>
      <c r="D257" s="367">
        <v>100000</v>
      </c>
      <c r="E257" s="366">
        <v>4</v>
      </c>
      <c r="F257" s="366">
        <v>6</v>
      </c>
      <c r="G257" s="367">
        <f t="shared" si="3"/>
        <v>2400000</v>
      </c>
      <c r="H257" s="373"/>
      <c r="I257" s="376"/>
      <c r="J257" s="376"/>
    </row>
    <row r="258" spans="1:10" s="366" customFormat="1" x14ac:dyDescent="0.25">
      <c r="A258" s="386"/>
      <c r="C258" s="366" t="s">
        <v>874</v>
      </c>
      <c r="D258" s="367">
        <v>150000</v>
      </c>
      <c r="E258" s="366">
        <v>11</v>
      </c>
      <c r="F258" s="366">
        <v>5</v>
      </c>
      <c r="G258" s="367">
        <f>D258*E258*F258</f>
        <v>8250000</v>
      </c>
      <c r="H258" s="373"/>
      <c r="I258" s="376"/>
      <c r="J258" s="376"/>
    </row>
    <row r="259" spans="1:10" s="366" customFormat="1" x14ac:dyDescent="0.25">
      <c r="A259" s="386"/>
      <c r="C259" s="366" t="s">
        <v>875</v>
      </c>
      <c r="D259" s="367">
        <v>100000</v>
      </c>
      <c r="E259" s="366">
        <v>11</v>
      </c>
      <c r="F259" s="366">
        <v>6</v>
      </c>
      <c r="G259" s="367">
        <f t="shared" ref="G259:G269" si="4">D259*E259*F259</f>
        <v>6600000</v>
      </c>
      <c r="H259" s="373"/>
      <c r="I259" s="376"/>
      <c r="J259" s="376"/>
    </row>
    <row r="260" spans="1:10" s="366" customFormat="1" x14ac:dyDescent="0.25">
      <c r="A260" s="386"/>
      <c r="C260" s="366" t="s">
        <v>876</v>
      </c>
      <c r="D260" s="367">
        <v>150000</v>
      </c>
      <c r="E260" s="366">
        <v>12</v>
      </c>
      <c r="F260" s="366">
        <v>5</v>
      </c>
      <c r="G260" s="367">
        <f t="shared" si="4"/>
        <v>9000000</v>
      </c>
      <c r="H260" s="373"/>
      <c r="I260" s="376"/>
      <c r="J260" s="376"/>
    </row>
    <row r="261" spans="1:10" s="366" customFormat="1" x14ac:dyDescent="0.25">
      <c r="A261" s="386"/>
      <c r="C261" s="366" t="s">
        <v>877</v>
      </c>
      <c r="D261" s="367">
        <v>100000</v>
      </c>
      <c r="E261" s="366">
        <v>12</v>
      </c>
      <c r="F261" s="366">
        <v>6</v>
      </c>
      <c r="G261" s="367">
        <f t="shared" si="4"/>
        <v>7200000</v>
      </c>
      <c r="H261" s="373"/>
      <c r="I261" s="376"/>
      <c r="J261" s="376"/>
    </row>
    <row r="262" spans="1:10" s="366" customFormat="1" ht="36" x14ac:dyDescent="0.25">
      <c r="A262" s="386"/>
      <c r="C262" s="388" t="s">
        <v>878</v>
      </c>
      <c r="D262" s="367">
        <v>170000</v>
      </c>
      <c r="E262" s="366">
        <v>9</v>
      </c>
      <c r="F262" s="366">
        <v>5</v>
      </c>
      <c r="G262" s="367">
        <f t="shared" si="4"/>
        <v>7650000</v>
      </c>
      <c r="H262" s="373"/>
      <c r="I262" s="376"/>
      <c r="J262" s="376"/>
    </row>
    <row r="263" spans="1:10" s="366" customFormat="1" ht="36" x14ac:dyDescent="0.25">
      <c r="A263" s="386"/>
      <c r="C263" s="388" t="s">
        <v>879</v>
      </c>
      <c r="D263" s="367">
        <v>100000</v>
      </c>
      <c r="E263" s="366">
        <v>9</v>
      </c>
      <c r="F263" s="366">
        <v>6</v>
      </c>
      <c r="G263" s="367">
        <f t="shared" si="4"/>
        <v>5400000</v>
      </c>
      <c r="H263" s="373"/>
      <c r="I263" s="376"/>
      <c r="J263" s="376"/>
    </row>
    <row r="264" spans="1:10" s="366" customFormat="1" ht="36" x14ac:dyDescent="0.25">
      <c r="A264" s="386"/>
      <c r="C264" s="388" t="s">
        <v>880</v>
      </c>
      <c r="D264" s="367">
        <v>150000</v>
      </c>
      <c r="E264" s="366">
        <v>9</v>
      </c>
      <c r="F264" s="366">
        <v>5</v>
      </c>
      <c r="G264" s="367">
        <f t="shared" si="4"/>
        <v>6750000</v>
      </c>
      <c r="H264" s="373"/>
      <c r="I264" s="376"/>
      <c r="J264" s="376"/>
    </row>
    <row r="265" spans="1:10" s="366" customFormat="1" ht="36" x14ac:dyDescent="0.25">
      <c r="A265" s="386"/>
      <c r="C265" s="388" t="s">
        <v>881</v>
      </c>
      <c r="D265" s="367">
        <v>100000</v>
      </c>
      <c r="E265" s="366">
        <v>9</v>
      </c>
      <c r="F265" s="366">
        <v>6</v>
      </c>
      <c r="G265" s="367">
        <f t="shared" si="4"/>
        <v>5400000</v>
      </c>
      <c r="H265" s="373"/>
      <c r="I265" s="376"/>
      <c r="J265" s="376"/>
    </row>
    <row r="266" spans="1:10" s="370" customFormat="1" x14ac:dyDescent="0.25">
      <c r="A266" s="371"/>
      <c r="C266" s="370" t="s">
        <v>882</v>
      </c>
      <c r="D266" s="372">
        <v>150000</v>
      </c>
      <c r="E266" s="370">
        <v>9</v>
      </c>
      <c r="F266" s="370">
        <v>5</v>
      </c>
      <c r="G266" s="367">
        <f t="shared" si="4"/>
        <v>6750000</v>
      </c>
      <c r="H266" s="368"/>
      <c r="I266" s="369"/>
      <c r="J266" s="369"/>
    </row>
    <row r="267" spans="1:10" s="370" customFormat="1" x14ac:dyDescent="0.25">
      <c r="A267" s="371"/>
      <c r="C267" s="370" t="s">
        <v>883</v>
      </c>
      <c r="D267" s="372">
        <v>100000</v>
      </c>
      <c r="E267" s="370">
        <v>9</v>
      </c>
      <c r="F267" s="370">
        <v>6</v>
      </c>
      <c r="G267" s="367">
        <f t="shared" si="4"/>
        <v>5400000</v>
      </c>
      <c r="H267" s="368"/>
      <c r="I267" s="369"/>
      <c r="J267" s="369"/>
    </row>
    <row r="268" spans="1:10" s="370" customFormat="1" x14ac:dyDescent="0.25">
      <c r="A268" s="371"/>
      <c r="C268" s="370" t="s">
        <v>884</v>
      </c>
      <c r="D268" s="372">
        <v>150000</v>
      </c>
      <c r="E268" s="370">
        <v>6</v>
      </c>
      <c r="F268" s="370">
        <v>5</v>
      </c>
      <c r="G268" s="367">
        <f>D268*E268*F268</f>
        <v>4500000</v>
      </c>
      <c r="H268" s="368"/>
      <c r="I268" s="369"/>
      <c r="J268" s="369"/>
    </row>
    <row r="269" spans="1:10" s="370" customFormat="1" x14ac:dyDescent="0.25">
      <c r="A269" s="371"/>
      <c r="C269" s="370" t="s">
        <v>885</v>
      </c>
      <c r="D269" s="372">
        <v>100000</v>
      </c>
      <c r="E269" s="370">
        <v>6</v>
      </c>
      <c r="F269" s="370">
        <v>6</v>
      </c>
      <c r="G269" s="367">
        <f t="shared" si="4"/>
        <v>3600000</v>
      </c>
      <c r="H269" s="368"/>
      <c r="I269" s="369"/>
      <c r="J269" s="369"/>
    </row>
    <row r="270" spans="1:10" s="370" customFormat="1" x14ac:dyDescent="0.25">
      <c r="A270" s="371"/>
      <c r="C270" s="370" t="s">
        <v>886</v>
      </c>
      <c r="D270" s="372">
        <v>170000</v>
      </c>
      <c r="E270" s="370">
        <v>1</v>
      </c>
      <c r="F270" s="370">
        <v>5</v>
      </c>
      <c r="G270" s="372">
        <f>D270*E270*F270</f>
        <v>850000</v>
      </c>
      <c r="H270" s="368"/>
      <c r="I270" s="369"/>
      <c r="J270" s="369"/>
    </row>
    <row r="271" spans="1:10" s="370" customFormat="1" x14ac:dyDescent="0.25">
      <c r="A271" s="371"/>
      <c r="C271" s="370" t="s">
        <v>887</v>
      </c>
      <c r="D271" s="372">
        <v>100000</v>
      </c>
      <c r="E271" s="370">
        <v>1</v>
      </c>
      <c r="F271" s="370">
        <v>6</v>
      </c>
      <c r="G271" s="372">
        <f t="shared" ref="G271:G275" si="5">D271*E271*F271</f>
        <v>600000</v>
      </c>
      <c r="H271" s="368"/>
      <c r="I271" s="369"/>
      <c r="J271" s="369"/>
    </row>
    <row r="272" spans="1:10" s="370" customFormat="1" x14ac:dyDescent="0.25">
      <c r="A272" s="371"/>
      <c r="C272" s="370" t="s">
        <v>888</v>
      </c>
      <c r="D272" s="372">
        <v>150000</v>
      </c>
      <c r="E272" s="370">
        <v>7</v>
      </c>
      <c r="F272" s="370">
        <v>5</v>
      </c>
      <c r="G272" s="372">
        <f t="shared" si="5"/>
        <v>5250000</v>
      </c>
      <c r="H272" s="368"/>
      <c r="I272" s="369"/>
      <c r="J272" s="369"/>
    </row>
    <row r="273" spans="1:10" s="370" customFormat="1" x14ac:dyDescent="0.25">
      <c r="A273" s="371"/>
      <c r="C273" s="370" t="s">
        <v>889</v>
      </c>
      <c r="D273" s="372">
        <v>100000</v>
      </c>
      <c r="E273" s="370">
        <v>7</v>
      </c>
      <c r="F273" s="370">
        <v>6</v>
      </c>
      <c r="G273" s="372">
        <f t="shared" si="5"/>
        <v>4200000</v>
      </c>
      <c r="H273" s="368"/>
      <c r="I273" s="369"/>
      <c r="J273" s="369"/>
    </row>
    <row r="274" spans="1:10" s="370" customFormat="1" x14ac:dyDescent="0.25">
      <c r="A274" s="371"/>
      <c r="C274" s="370" t="s">
        <v>845</v>
      </c>
      <c r="D274" s="372">
        <v>150000</v>
      </c>
      <c r="E274" s="370">
        <v>1</v>
      </c>
      <c r="F274" s="370">
        <v>5</v>
      </c>
      <c r="G274" s="372">
        <f t="shared" si="5"/>
        <v>750000</v>
      </c>
      <c r="H274" s="368"/>
      <c r="I274" s="369"/>
      <c r="J274" s="369"/>
    </row>
    <row r="275" spans="1:10" s="370" customFormat="1" x14ac:dyDescent="0.25">
      <c r="A275" s="371"/>
      <c r="C275" s="370" t="s">
        <v>846</v>
      </c>
      <c r="D275" s="372">
        <v>100000</v>
      </c>
      <c r="E275" s="370">
        <v>1</v>
      </c>
      <c r="F275" s="370">
        <v>6</v>
      </c>
      <c r="G275" s="372">
        <f t="shared" si="5"/>
        <v>600000</v>
      </c>
      <c r="H275" s="368"/>
      <c r="I275" s="369"/>
      <c r="J275" s="369"/>
    </row>
    <row r="276" spans="1:10" s="370" customFormat="1" ht="24" x14ac:dyDescent="0.25">
      <c r="A276" s="371"/>
      <c r="C276" s="390" t="s">
        <v>890</v>
      </c>
      <c r="D276" s="372">
        <v>170000</v>
      </c>
      <c r="E276" s="372">
        <v>4</v>
      </c>
      <c r="F276" s="372">
        <v>8</v>
      </c>
      <c r="G276" s="372">
        <f>D276*E276*F276</f>
        <v>5440000</v>
      </c>
      <c r="H276" s="368"/>
      <c r="I276" s="369"/>
      <c r="J276" s="369"/>
    </row>
    <row r="277" spans="1:10" s="370" customFormat="1" ht="24" x14ac:dyDescent="0.25">
      <c r="A277" s="371"/>
      <c r="C277" s="390" t="s">
        <v>891</v>
      </c>
      <c r="D277" s="372">
        <v>100000</v>
      </c>
      <c r="E277" s="372">
        <v>4</v>
      </c>
      <c r="F277" s="372">
        <v>9</v>
      </c>
      <c r="G277" s="372">
        <f t="shared" ref="G277:G287" si="6">D277*E277*F277</f>
        <v>3600000</v>
      </c>
      <c r="H277" s="368"/>
      <c r="I277" s="369"/>
      <c r="J277" s="369"/>
    </row>
    <row r="278" spans="1:10" s="370" customFormat="1" ht="24" x14ac:dyDescent="0.25">
      <c r="A278" s="371"/>
      <c r="C278" s="390" t="s">
        <v>892</v>
      </c>
      <c r="D278" s="372">
        <v>150000</v>
      </c>
      <c r="E278" s="372">
        <v>10</v>
      </c>
      <c r="F278" s="372">
        <v>8</v>
      </c>
      <c r="G278" s="372">
        <f>D278*E278*F278</f>
        <v>12000000</v>
      </c>
      <c r="H278" s="368"/>
      <c r="I278" s="369"/>
      <c r="J278" s="369"/>
    </row>
    <row r="279" spans="1:10" s="370" customFormat="1" ht="24" x14ac:dyDescent="0.25">
      <c r="A279" s="371"/>
      <c r="C279" s="390" t="s">
        <v>893</v>
      </c>
      <c r="D279" s="372">
        <v>100000</v>
      </c>
      <c r="E279" s="372">
        <v>10</v>
      </c>
      <c r="F279" s="372">
        <v>9</v>
      </c>
      <c r="G279" s="372">
        <f t="shared" si="6"/>
        <v>9000000</v>
      </c>
      <c r="H279" s="368"/>
      <c r="I279" s="369"/>
      <c r="J279" s="369"/>
    </row>
    <row r="280" spans="1:10" s="370" customFormat="1" x14ac:dyDescent="0.25">
      <c r="A280" s="371"/>
      <c r="C280" s="370" t="s">
        <v>894</v>
      </c>
      <c r="D280" s="372">
        <v>170000</v>
      </c>
      <c r="E280" s="372">
        <v>2</v>
      </c>
      <c r="F280" s="372">
        <v>7</v>
      </c>
      <c r="G280" s="372">
        <f>D280*E280*F280</f>
        <v>2380000</v>
      </c>
      <c r="H280" s="368"/>
      <c r="I280" s="369"/>
      <c r="J280" s="369"/>
    </row>
    <row r="281" spans="1:10" s="370" customFormat="1" x14ac:dyDescent="0.25">
      <c r="A281" s="371"/>
      <c r="C281" s="370" t="s">
        <v>895</v>
      </c>
      <c r="D281" s="372">
        <v>100000</v>
      </c>
      <c r="E281" s="372">
        <v>2</v>
      </c>
      <c r="F281" s="372">
        <v>8</v>
      </c>
      <c r="G281" s="372">
        <f t="shared" si="6"/>
        <v>1600000</v>
      </c>
      <c r="H281" s="368"/>
      <c r="I281" s="369"/>
      <c r="J281" s="369"/>
    </row>
    <row r="282" spans="1:10" s="370" customFormat="1" x14ac:dyDescent="0.25">
      <c r="A282" s="371"/>
      <c r="C282" s="370" t="s">
        <v>896</v>
      </c>
      <c r="D282" s="372">
        <v>150000</v>
      </c>
      <c r="E282" s="372">
        <v>5</v>
      </c>
      <c r="F282" s="372">
        <v>7</v>
      </c>
      <c r="G282" s="372">
        <f t="shared" si="6"/>
        <v>5250000</v>
      </c>
      <c r="H282" s="368"/>
      <c r="I282" s="369"/>
      <c r="J282" s="369"/>
    </row>
    <row r="283" spans="1:10" s="370" customFormat="1" ht="24" x14ac:dyDescent="0.25">
      <c r="A283" s="371"/>
      <c r="C283" s="390" t="s">
        <v>897</v>
      </c>
      <c r="D283" s="372">
        <v>100000</v>
      </c>
      <c r="E283" s="372">
        <v>5</v>
      </c>
      <c r="F283" s="372">
        <v>8</v>
      </c>
      <c r="G283" s="372">
        <f t="shared" si="6"/>
        <v>4000000</v>
      </c>
      <c r="H283" s="368"/>
      <c r="I283" s="369"/>
      <c r="J283" s="369"/>
    </row>
    <row r="284" spans="1:10" s="370" customFormat="1" ht="24" x14ac:dyDescent="0.25">
      <c r="A284" s="371"/>
      <c r="C284" s="390" t="s">
        <v>898</v>
      </c>
      <c r="D284" s="372">
        <v>170000</v>
      </c>
      <c r="E284" s="372">
        <v>10</v>
      </c>
      <c r="F284" s="372">
        <v>6</v>
      </c>
      <c r="G284" s="372">
        <f t="shared" si="6"/>
        <v>10200000</v>
      </c>
      <c r="H284" s="368"/>
      <c r="I284" s="369"/>
      <c r="J284" s="369"/>
    </row>
    <row r="285" spans="1:10" s="370" customFormat="1" ht="24" x14ac:dyDescent="0.25">
      <c r="A285" s="371"/>
      <c r="C285" s="390" t="s">
        <v>899</v>
      </c>
      <c r="D285" s="372">
        <v>100000</v>
      </c>
      <c r="E285" s="372">
        <v>10</v>
      </c>
      <c r="F285" s="372">
        <v>7</v>
      </c>
      <c r="G285" s="372">
        <f t="shared" si="6"/>
        <v>7000000</v>
      </c>
      <c r="H285" s="368"/>
      <c r="I285" s="369"/>
      <c r="J285" s="369"/>
    </row>
    <row r="286" spans="1:10" s="370" customFormat="1" ht="24" x14ac:dyDescent="0.25">
      <c r="A286" s="371"/>
      <c r="C286" s="390" t="s">
        <v>900</v>
      </c>
      <c r="D286" s="372">
        <v>150000</v>
      </c>
      <c r="E286" s="372">
        <v>24</v>
      </c>
      <c r="F286" s="372">
        <v>6</v>
      </c>
      <c r="G286" s="372">
        <f t="shared" si="6"/>
        <v>21600000</v>
      </c>
      <c r="H286" s="368"/>
      <c r="I286" s="369"/>
      <c r="J286" s="369"/>
    </row>
    <row r="287" spans="1:10" s="370" customFormat="1" ht="24" x14ac:dyDescent="0.25">
      <c r="A287" s="371"/>
      <c r="C287" s="390" t="s">
        <v>901</v>
      </c>
      <c r="D287" s="372">
        <v>100000</v>
      </c>
      <c r="E287" s="372">
        <v>24</v>
      </c>
      <c r="F287" s="372">
        <v>7</v>
      </c>
      <c r="G287" s="372">
        <f t="shared" si="6"/>
        <v>16800000</v>
      </c>
      <c r="H287" s="368"/>
      <c r="I287" s="369"/>
      <c r="J287" s="369"/>
    </row>
    <row r="288" spans="1:10" s="370" customFormat="1" x14ac:dyDescent="0.25">
      <c r="A288" s="371"/>
      <c r="C288" s="370" t="s">
        <v>902</v>
      </c>
      <c r="D288" s="372">
        <v>192000</v>
      </c>
      <c r="E288" s="370">
        <v>4</v>
      </c>
      <c r="F288" s="370">
        <v>1</v>
      </c>
      <c r="G288" s="372">
        <f>D288*E288*F288</f>
        <v>768000</v>
      </c>
      <c r="H288" s="368"/>
      <c r="I288" s="369"/>
      <c r="J288" s="369"/>
    </row>
    <row r="289" spans="1:10" s="370" customFormat="1" x14ac:dyDescent="0.25">
      <c r="A289" s="371"/>
      <c r="C289" s="370" t="s">
        <v>858</v>
      </c>
      <c r="D289" s="372">
        <v>80000</v>
      </c>
      <c r="E289" s="370">
        <v>3</v>
      </c>
      <c r="F289" s="370">
        <v>5</v>
      </c>
      <c r="G289" s="372">
        <f t="shared" ref="G289:G291" si="7">D289*E289*F289</f>
        <v>1200000</v>
      </c>
      <c r="H289" s="368"/>
      <c r="I289" s="369"/>
      <c r="J289" s="369"/>
    </row>
    <row r="290" spans="1:10" s="370" customFormat="1" ht="36" x14ac:dyDescent="0.25">
      <c r="A290" s="371"/>
      <c r="C290" s="391" t="s">
        <v>903</v>
      </c>
      <c r="D290" s="372">
        <v>192000</v>
      </c>
      <c r="E290" s="370">
        <v>10</v>
      </c>
      <c r="F290" s="370">
        <v>1</v>
      </c>
      <c r="G290" s="372">
        <f t="shared" si="7"/>
        <v>1920000</v>
      </c>
      <c r="H290" s="368"/>
      <c r="I290" s="369"/>
      <c r="J290" s="369"/>
    </row>
    <row r="291" spans="1:10" s="370" customFormat="1" ht="36" x14ac:dyDescent="0.25">
      <c r="A291" s="371"/>
      <c r="C291" s="391" t="s">
        <v>904</v>
      </c>
      <c r="D291" s="372">
        <v>80000</v>
      </c>
      <c r="E291" s="370">
        <v>10</v>
      </c>
      <c r="F291" s="370">
        <v>5</v>
      </c>
      <c r="G291" s="372">
        <f t="shared" si="7"/>
        <v>4000000</v>
      </c>
      <c r="H291" s="368"/>
      <c r="I291" s="369"/>
      <c r="J291" s="369"/>
    </row>
    <row r="292" spans="1:10" s="370" customFormat="1" x14ac:dyDescent="0.25">
      <c r="A292" s="371"/>
      <c r="C292" s="370" t="s">
        <v>905</v>
      </c>
      <c r="D292" s="372">
        <v>192000</v>
      </c>
      <c r="E292" s="370">
        <v>1</v>
      </c>
      <c r="F292" s="370">
        <v>1</v>
      </c>
      <c r="G292" s="372">
        <f>D292*E292*F292</f>
        <v>192000</v>
      </c>
      <c r="H292" s="368"/>
      <c r="I292" s="369"/>
      <c r="J292" s="369"/>
    </row>
    <row r="293" spans="1:10" s="370" customFormat="1" x14ac:dyDescent="0.25">
      <c r="A293" s="371"/>
      <c r="C293" s="370" t="s">
        <v>906</v>
      </c>
      <c r="D293" s="372">
        <v>80000</v>
      </c>
      <c r="E293" s="370">
        <v>1</v>
      </c>
      <c r="F293" s="370">
        <v>5</v>
      </c>
      <c r="G293" s="372">
        <f t="shared" ref="G293:G318" si="8">D293*E293*F293</f>
        <v>400000</v>
      </c>
      <c r="H293" s="368"/>
      <c r="I293" s="369"/>
      <c r="J293" s="369"/>
    </row>
    <row r="294" spans="1:10" s="370" customFormat="1" x14ac:dyDescent="0.25">
      <c r="A294" s="371"/>
      <c r="C294" s="370" t="s">
        <v>907</v>
      </c>
      <c r="D294" s="372">
        <v>8000</v>
      </c>
      <c r="E294" s="370">
        <f>745/6+2</f>
        <v>126.16666666666667</v>
      </c>
      <c r="F294" s="370">
        <v>2</v>
      </c>
      <c r="G294" s="372">
        <f t="shared" si="8"/>
        <v>2018666.6666666667</v>
      </c>
      <c r="H294" s="368"/>
      <c r="I294" s="369"/>
      <c r="J294" s="369"/>
    </row>
    <row r="295" spans="1:10" s="370" customFormat="1" x14ac:dyDescent="0.25">
      <c r="A295" s="371"/>
      <c r="C295" s="370" t="s">
        <v>908</v>
      </c>
      <c r="D295" s="372">
        <v>8000</v>
      </c>
      <c r="E295" s="370">
        <f>823/6+2</f>
        <v>139.16666666666666</v>
      </c>
      <c r="F295" s="370">
        <v>2</v>
      </c>
      <c r="G295" s="372">
        <f t="shared" si="8"/>
        <v>2226666.6666666665</v>
      </c>
      <c r="H295" s="368"/>
      <c r="I295" s="369"/>
      <c r="J295" s="369"/>
    </row>
    <row r="296" spans="1:10" s="370" customFormat="1" x14ac:dyDescent="0.25">
      <c r="A296" s="371"/>
      <c r="C296" s="370" t="s">
        <v>909</v>
      </c>
      <c r="D296" s="372">
        <v>8000</v>
      </c>
      <c r="E296" s="370">
        <f>628/6+2</f>
        <v>106.66666666666667</v>
      </c>
      <c r="F296" s="370">
        <v>2</v>
      </c>
      <c r="G296" s="372">
        <f t="shared" si="8"/>
        <v>1706666.6666666667</v>
      </c>
      <c r="H296" s="368"/>
      <c r="I296" s="369"/>
      <c r="J296" s="369"/>
    </row>
    <row r="297" spans="1:10" s="370" customFormat="1" x14ac:dyDescent="0.25">
      <c r="A297" s="371"/>
      <c r="C297" s="370" t="s">
        <v>910</v>
      </c>
      <c r="D297" s="372">
        <v>8000</v>
      </c>
      <c r="E297" s="370">
        <f>513/6+2</f>
        <v>87.5</v>
      </c>
      <c r="F297" s="370">
        <v>2</v>
      </c>
      <c r="G297" s="372">
        <f t="shared" si="8"/>
        <v>1400000</v>
      </c>
      <c r="H297" s="368"/>
      <c r="I297" s="369"/>
      <c r="J297" s="369"/>
    </row>
    <row r="298" spans="1:10" s="370" customFormat="1" x14ac:dyDescent="0.25">
      <c r="A298" s="371"/>
      <c r="C298" s="370" t="s">
        <v>911</v>
      </c>
      <c r="D298" s="372">
        <v>8000</v>
      </c>
      <c r="E298" s="370">
        <f>319/6+2</f>
        <v>55.166666666666664</v>
      </c>
      <c r="F298" s="370">
        <v>2</v>
      </c>
      <c r="G298" s="372">
        <f t="shared" si="8"/>
        <v>882666.66666666663</v>
      </c>
      <c r="H298" s="368"/>
      <c r="I298" s="369"/>
      <c r="J298" s="369"/>
    </row>
    <row r="299" spans="1:10" s="370" customFormat="1" x14ac:dyDescent="0.25">
      <c r="A299" s="371"/>
      <c r="C299" s="370" t="s">
        <v>912</v>
      </c>
      <c r="D299" s="372">
        <v>8000</v>
      </c>
      <c r="E299" s="370">
        <f>338/6+2</f>
        <v>58.333333333333336</v>
      </c>
      <c r="F299" s="370">
        <v>2</v>
      </c>
      <c r="G299" s="372">
        <f t="shared" si="8"/>
        <v>933333.33333333337</v>
      </c>
      <c r="H299" s="368"/>
      <c r="I299" s="369"/>
      <c r="J299" s="369"/>
    </row>
    <row r="300" spans="1:10" s="370" customFormat="1" x14ac:dyDescent="0.25">
      <c r="A300" s="371"/>
      <c r="C300" s="370" t="s">
        <v>913</v>
      </c>
      <c r="D300" s="372">
        <v>8000</v>
      </c>
      <c r="E300" s="370">
        <f>319/6+2</f>
        <v>55.166666666666664</v>
      </c>
      <c r="F300" s="370">
        <v>2</v>
      </c>
      <c r="G300" s="372">
        <f t="shared" si="8"/>
        <v>882666.66666666663</v>
      </c>
      <c r="H300" s="368"/>
      <c r="I300" s="369"/>
      <c r="J300" s="369"/>
    </row>
    <row r="301" spans="1:10" s="370" customFormat="1" x14ac:dyDescent="0.25">
      <c r="A301" s="371"/>
      <c r="C301" s="370" t="s">
        <v>914</v>
      </c>
      <c r="D301" s="372">
        <v>8000</v>
      </c>
      <c r="E301" s="370">
        <f>569/6+2</f>
        <v>96.833333333333329</v>
      </c>
      <c r="F301" s="370">
        <v>2</v>
      </c>
      <c r="G301" s="372">
        <f t="shared" si="8"/>
        <v>1549333.3333333333</v>
      </c>
      <c r="H301" s="368"/>
      <c r="I301" s="369"/>
      <c r="J301" s="369"/>
    </row>
    <row r="302" spans="1:10" s="370" customFormat="1" x14ac:dyDescent="0.25">
      <c r="A302" s="371"/>
      <c r="C302" s="370" t="s">
        <v>915</v>
      </c>
      <c r="D302" s="372">
        <v>8000</v>
      </c>
      <c r="E302" s="370">
        <v>10</v>
      </c>
      <c r="F302" s="370">
        <v>5</v>
      </c>
      <c r="G302" s="372">
        <f t="shared" si="8"/>
        <v>400000</v>
      </c>
      <c r="H302" s="368"/>
      <c r="I302" s="369"/>
      <c r="J302" s="369"/>
    </row>
    <row r="303" spans="1:10" s="370" customFormat="1" x14ac:dyDescent="0.25">
      <c r="A303" s="371"/>
      <c r="C303" s="370" t="s">
        <v>916</v>
      </c>
      <c r="D303" s="372">
        <v>8000</v>
      </c>
      <c r="E303" s="370">
        <f>341/6</f>
        <v>56.833333333333336</v>
      </c>
      <c r="F303" s="370">
        <v>2</v>
      </c>
      <c r="G303" s="372">
        <f t="shared" si="8"/>
        <v>909333.33333333337</v>
      </c>
      <c r="H303" s="368"/>
      <c r="I303" s="369"/>
      <c r="J303" s="369"/>
    </row>
    <row r="304" spans="1:10" s="370" customFormat="1" x14ac:dyDescent="0.25">
      <c r="A304" s="371"/>
      <c r="C304" s="370" t="s">
        <v>917</v>
      </c>
      <c r="D304" s="372">
        <v>8000</v>
      </c>
      <c r="E304" s="370">
        <f>150/8+12</f>
        <v>30.75</v>
      </c>
      <c r="F304" s="370">
        <v>2</v>
      </c>
      <c r="G304" s="372">
        <f t="shared" si="8"/>
        <v>492000</v>
      </c>
      <c r="H304" s="368"/>
      <c r="I304" s="369"/>
      <c r="J304" s="369"/>
    </row>
    <row r="305" spans="1:10" s="370" customFormat="1" x14ac:dyDescent="0.25">
      <c r="A305" s="371"/>
      <c r="C305" s="370" t="s">
        <v>918</v>
      </c>
      <c r="D305" s="372">
        <v>8000</v>
      </c>
      <c r="E305" s="370">
        <f>353/8+12</f>
        <v>56.125</v>
      </c>
      <c r="F305" s="370">
        <v>2</v>
      </c>
      <c r="G305" s="372">
        <f t="shared" si="8"/>
        <v>898000</v>
      </c>
      <c r="H305" s="368"/>
      <c r="I305" s="369"/>
      <c r="J305" s="369"/>
    </row>
    <row r="306" spans="1:10" s="370" customFormat="1" x14ac:dyDescent="0.25">
      <c r="A306" s="371"/>
      <c r="C306" s="370" t="s">
        <v>919</v>
      </c>
      <c r="D306" s="372">
        <v>8000</v>
      </c>
      <c r="E306" s="370">
        <f>469/8+12</f>
        <v>70.625</v>
      </c>
      <c r="F306" s="370">
        <v>2</v>
      </c>
      <c r="G306" s="372">
        <f t="shared" si="8"/>
        <v>1130000</v>
      </c>
      <c r="H306" s="368"/>
      <c r="I306" s="369"/>
      <c r="J306" s="369"/>
    </row>
    <row r="307" spans="1:10" s="370" customFormat="1" x14ac:dyDescent="0.25">
      <c r="A307" s="371"/>
      <c r="C307" s="370" t="s">
        <v>920</v>
      </c>
      <c r="D307" s="372">
        <v>8000</v>
      </c>
      <c r="E307" s="370">
        <f>675/8+12</f>
        <v>96.375</v>
      </c>
      <c r="F307" s="370">
        <v>2</v>
      </c>
      <c r="G307" s="372">
        <f t="shared" si="8"/>
        <v>1542000</v>
      </c>
      <c r="H307" s="368"/>
      <c r="I307" s="369"/>
      <c r="J307" s="369"/>
    </row>
    <row r="308" spans="1:10" s="370" customFormat="1" x14ac:dyDescent="0.25">
      <c r="A308" s="371"/>
      <c r="C308" s="370" t="s">
        <v>921</v>
      </c>
      <c r="D308" s="372">
        <v>8000</v>
      </c>
      <c r="E308" s="370">
        <f>683/8+12</f>
        <v>97.375</v>
      </c>
      <c r="F308" s="370">
        <v>2</v>
      </c>
      <c r="G308" s="372">
        <f t="shared" si="8"/>
        <v>1558000</v>
      </c>
      <c r="H308" s="368"/>
      <c r="I308" s="369"/>
      <c r="J308" s="369"/>
    </row>
    <row r="309" spans="1:10" s="370" customFormat="1" x14ac:dyDescent="0.25">
      <c r="A309" s="371"/>
      <c r="C309" s="370" t="s">
        <v>922</v>
      </c>
      <c r="D309" s="372">
        <v>8000</v>
      </c>
      <c r="E309" s="370">
        <f>814/8+12</f>
        <v>113.75</v>
      </c>
      <c r="F309" s="370">
        <v>2</v>
      </c>
      <c r="G309" s="372">
        <f t="shared" si="8"/>
        <v>1820000</v>
      </c>
      <c r="H309" s="368"/>
      <c r="I309" s="369"/>
      <c r="J309" s="369"/>
    </row>
    <row r="310" spans="1:10" s="370" customFormat="1" x14ac:dyDescent="0.25">
      <c r="A310" s="371"/>
      <c r="C310" s="370" t="s">
        <v>923</v>
      </c>
      <c r="D310" s="372">
        <v>8000</v>
      </c>
      <c r="E310" s="370">
        <f>887/8+12</f>
        <v>122.875</v>
      </c>
      <c r="F310" s="370">
        <v>2</v>
      </c>
      <c r="G310" s="372">
        <f t="shared" si="8"/>
        <v>1966000</v>
      </c>
      <c r="H310" s="368"/>
      <c r="I310" s="369"/>
      <c r="J310" s="369"/>
    </row>
    <row r="311" spans="1:10" s="370" customFormat="1" x14ac:dyDescent="0.25">
      <c r="A311" s="371"/>
      <c r="C311" s="370" t="s">
        <v>924</v>
      </c>
      <c r="D311" s="372">
        <v>400000</v>
      </c>
      <c r="E311" s="370">
        <v>16</v>
      </c>
      <c r="F311" s="370">
        <v>1</v>
      </c>
      <c r="G311" s="372">
        <f t="shared" si="8"/>
        <v>6400000</v>
      </c>
      <c r="H311" s="368"/>
      <c r="I311" s="369"/>
      <c r="J311" s="369"/>
    </row>
    <row r="312" spans="1:10" s="366" customFormat="1" x14ac:dyDescent="0.25">
      <c r="A312" s="386"/>
      <c r="C312" s="366" t="s">
        <v>925</v>
      </c>
      <c r="D312" s="366">
        <v>1500000</v>
      </c>
      <c r="E312" s="366">
        <v>1</v>
      </c>
      <c r="F312" s="366">
        <v>2</v>
      </c>
      <c r="G312" s="372">
        <f t="shared" si="8"/>
        <v>3000000</v>
      </c>
      <c r="H312" s="373"/>
      <c r="I312" s="376"/>
      <c r="J312" s="376"/>
    </row>
    <row r="313" spans="1:10" s="366" customFormat="1" x14ac:dyDescent="0.25">
      <c r="A313" s="386"/>
      <c r="C313" s="366" t="s">
        <v>231</v>
      </c>
      <c r="D313" s="366">
        <v>3000000</v>
      </c>
      <c r="E313" s="366">
        <v>1</v>
      </c>
      <c r="F313" s="366">
        <v>5</v>
      </c>
      <c r="G313" s="372">
        <f t="shared" si="8"/>
        <v>15000000</v>
      </c>
      <c r="H313" s="373"/>
      <c r="I313" s="376"/>
      <c r="J313" s="376"/>
    </row>
    <row r="314" spans="1:10" s="366" customFormat="1" x14ac:dyDescent="0.25">
      <c r="A314" s="386"/>
      <c r="C314" s="366" t="s">
        <v>97</v>
      </c>
      <c r="D314" s="366">
        <v>20000</v>
      </c>
      <c r="E314" s="366">
        <v>123</v>
      </c>
      <c r="F314" s="366">
        <v>5</v>
      </c>
      <c r="G314" s="372">
        <f t="shared" si="8"/>
        <v>12300000</v>
      </c>
      <c r="H314" s="373"/>
      <c r="I314" s="376"/>
      <c r="J314" s="376"/>
    </row>
    <row r="315" spans="1:10" s="366" customFormat="1" x14ac:dyDescent="0.25">
      <c r="A315" s="386"/>
      <c r="C315" s="366" t="s">
        <v>756</v>
      </c>
      <c r="D315" s="366">
        <v>400000</v>
      </c>
      <c r="E315" s="366">
        <v>1</v>
      </c>
      <c r="F315" s="366">
        <v>1</v>
      </c>
      <c r="G315" s="372">
        <f t="shared" si="8"/>
        <v>400000</v>
      </c>
      <c r="H315" s="373"/>
      <c r="I315" s="376"/>
      <c r="J315" s="376"/>
    </row>
    <row r="316" spans="1:10" s="366" customFormat="1" x14ac:dyDescent="0.25">
      <c r="A316" s="386"/>
      <c r="C316" s="366" t="s">
        <v>60</v>
      </c>
      <c r="D316" s="366">
        <v>20000</v>
      </c>
      <c r="E316" s="366">
        <v>123</v>
      </c>
      <c r="F316" s="366">
        <v>1</v>
      </c>
      <c r="G316" s="372">
        <f t="shared" si="8"/>
        <v>2460000</v>
      </c>
      <c r="H316" s="373"/>
      <c r="I316" s="376"/>
      <c r="J316" s="376"/>
    </row>
    <row r="317" spans="1:10" s="366" customFormat="1" x14ac:dyDescent="0.25">
      <c r="A317" s="386"/>
      <c r="C317" s="366" t="s">
        <v>57</v>
      </c>
      <c r="D317" s="366">
        <v>40000</v>
      </c>
      <c r="E317" s="366">
        <v>7</v>
      </c>
      <c r="F317" s="366">
        <v>5</v>
      </c>
      <c r="G317" s="372">
        <f t="shared" si="8"/>
        <v>1400000</v>
      </c>
      <c r="H317" s="373"/>
      <c r="I317" s="376"/>
      <c r="J317" s="376"/>
    </row>
    <row r="318" spans="1:10" s="366" customFormat="1" x14ac:dyDescent="0.25">
      <c r="A318" s="386"/>
      <c r="C318" s="366" t="s">
        <v>59</v>
      </c>
      <c r="D318" s="366">
        <v>50000</v>
      </c>
      <c r="E318" s="366">
        <v>50</v>
      </c>
      <c r="F318" s="366">
        <v>1</v>
      </c>
      <c r="G318" s="372">
        <f t="shared" si="8"/>
        <v>2500000</v>
      </c>
      <c r="H318" s="373"/>
      <c r="I318" s="376"/>
      <c r="J318" s="376"/>
    </row>
    <row r="319" spans="1:10" s="370" customFormat="1" x14ac:dyDescent="0.25">
      <c r="A319" s="371"/>
      <c r="G319" s="372"/>
      <c r="H319" s="368"/>
      <c r="I319" s="369"/>
      <c r="J319" s="369"/>
    </row>
    <row r="320" spans="1:10" s="370" customFormat="1" x14ac:dyDescent="0.25">
      <c r="A320" s="371"/>
      <c r="C320" s="370" t="s">
        <v>140</v>
      </c>
      <c r="G320" s="389">
        <f>SUM(G251:G319)</f>
        <v>293275333.33333331</v>
      </c>
      <c r="H320" s="373">
        <f>G320/8136</f>
        <v>36046.624057686</v>
      </c>
      <c r="I320" s="369"/>
      <c r="J320" s="369"/>
    </row>
    <row r="321" spans="1:10" s="370" customFormat="1" x14ac:dyDescent="0.25">
      <c r="A321" s="371"/>
      <c r="G321" s="372"/>
      <c r="H321" s="368"/>
      <c r="I321" s="369"/>
      <c r="J321" s="369"/>
    </row>
    <row r="322" spans="1:10" s="366" customFormat="1" ht="36" x14ac:dyDescent="0.25">
      <c r="A322" s="392" t="s">
        <v>926</v>
      </c>
      <c r="B322" s="393" t="s">
        <v>927</v>
      </c>
      <c r="C322" s="394"/>
      <c r="D322" s="394"/>
      <c r="E322" s="394"/>
      <c r="F322" s="394"/>
      <c r="G322" s="389"/>
      <c r="H322" s="373"/>
      <c r="I322" s="376"/>
      <c r="J322" s="376"/>
    </row>
    <row r="323" spans="1:10" s="366" customFormat="1" x14ac:dyDescent="0.25">
      <c r="A323" s="386"/>
      <c r="B323" s="366" t="s">
        <v>928</v>
      </c>
      <c r="C323" s="366" t="s">
        <v>39</v>
      </c>
      <c r="D323" s="366">
        <v>300000</v>
      </c>
      <c r="E323" s="366">
        <v>1</v>
      </c>
      <c r="F323" s="366">
        <v>1</v>
      </c>
      <c r="G323" s="367">
        <f>D323*E323*F323</f>
        <v>300000</v>
      </c>
      <c r="H323" s="373"/>
      <c r="I323" s="376"/>
      <c r="J323" s="376"/>
    </row>
    <row r="324" spans="1:10" s="370" customFormat="1" x14ac:dyDescent="0.25">
      <c r="A324" s="371"/>
      <c r="B324" s="370" t="s">
        <v>929</v>
      </c>
      <c r="C324" s="370" t="s">
        <v>930</v>
      </c>
      <c r="E324" s="370">
        <v>1</v>
      </c>
      <c r="F324" s="370">
        <v>1</v>
      </c>
      <c r="G324" s="367">
        <f t="shared" ref="G324:G367" si="9">D324*E324*F324</f>
        <v>0</v>
      </c>
      <c r="H324" s="368"/>
      <c r="I324" s="369"/>
      <c r="J324" s="369"/>
    </row>
    <row r="325" spans="1:10" s="370" customFormat="1" x14ac:dyDescent="0.25">
      <c r="A325" s="371"/>
      <c r="B325" s="370" t="s">
        <v>931</v>
      </c>
      <c r="C325" s="370" t="s">
        <v>867</v>
      </c>
      <c r="E325" s="370">
        <v>3</v>
      </c>
      <c r="F325" s="370">
        <v>1</v>
      </c>
      <c r="G325" s="367">
        <f t="shared" si="9"/>
        <v>0</v>
      </c>
      <c r="H325" s="368"/>
      <c r="I325" s="369"/>
      <c r="J325" s="369"/>
    </row>
    <row r="326" spans="1:10" s="370" customFormat="1" x14ac:dyDescent="0.25">
      <c r="A326" s="371"/>
      <c r="B326" s="370" t="s">
        <v>932</v>
      </c>
      <c r="C326" s="370" t="s">
        <v>830</v>
      </c>
      <c r="E326" s="370">
        <v>27</v>
      </c>
      <c r="F326" s="370">
        <v>1</v>
      </c>
      <c r="G326" s="367">
        <f t="shared" si="9"/>
        <v>0</v>
      </c>
      <c r="H326" s="368"/>
      <c r="I326" s="369"/>
      <c r="J326" s="369"/>
    </row>
    <row r="327" spans="1:10" s="370" customFormat="1" x14ac:dyDescent="0.25">
      <c r="A327" s="371"/>
      <c r="B327" s="370" t="s">
        <v>933</v>
      </c>
      <c r="C327" s="370" t="s">
        <v>934</v>
      </c>
      <c r="E327" s="370">
        <v>12</v>
      </c>
      <c r="F327" s="370">
        <v>5</v>
      </c>
      <c r="G327" s="367">
        <f t="shared" si="9"/>
        <v>0</v>
      </c>
      <c r="H327" s="368"/>
      <c r="I327" s="369"/>
      <c r="J327" s="369"/>
    </row>
    <row r="328" spans="1:10" s="370" customFormat="1" ht="24" x14ac:dyDescent="0.25">
      <c r="A328" s="371"/>
      <c r="B328" s="390" t="s">
        <v>935</v>
      </c>
      <c r="C328" s="370" t="s">
        <v>936</v>
      </c>
      <c r="E328" s="370">
        <v>12</v>
      </c>
      <c r="F328" s="370">
        <v>2</v>
      </c>
      <c r="G328" s="367">
        <f t="shared" si="9"/>
        <v>0</v>
      </c>
      <c r="H328" s="368"/>
      <c r="I328" s="369"/>
      <c r="J328" s="369"/>
    </row>
    <row r="329" spans="1:10" s="370" customFormat="1" ht="36" x14ac:dyDescent="0.25">
      <c r="A329" s="371"/>
      <c r="B329" s="370" t="s">
        <v>937</v>
      </c>
      <c r="C329" s="391" t="s">
        <v>938</v>
      </c>
      <c r="E329" s="370">
        <v>9</v>
      </c>
      <c r="F329" s="370">
        <v>2</v>
      </c>
      <c r="G329" s="367">
        <f t="shared" si="9"/>
        <v>0</v>
      </c>
      <c r="H329" s="368"/>
      <c r="I329" s="369"/>
      <c r="J329" s="369"/>
    </row>
    <row r="330" spans="1:10" s="370" customFormat="1" x14ac:dyDescent="0.25">
      <c r="A330" s="371"/>
      <c r="B330" s="370" t="s">
        <v>939</v>
      </c>
      <c r="C330" s="370" t="s">
        <v>940</v>
      </c>
      <c r="E330" s="370">
        <v>2</v>
      </c>
      <c r="F330" s="370">
        <v>1</v>
      </c>
      <c r="G330" s="367">
        <f t="shared" si="9"/>
        <v>0</v>
      </c>
      <c r="H330" s="368"/>
      <c r="I330" s="369"/>
      <c r="J330" s="369"/>
    </row>
    <row r="331" spans="1:10" s="370" customFormat="1" x14ac:dyDescent="0.25">
      <c r="A331" s="371"/>
      <c r="C331" s="370" t="s">
        <v>941</v>
      </c>
      <c r="E331" s="370">
        <v>9</v>
      </c>
      <c r="G331" s="367">
        <f t="shared" si="9"/>
        <v>0</v>
      </c>
      <c r="H331" s="368"/>
      <c r="I331" s="369"/>
      <c r="J331" s="369"/>
    </row>
    <row r="332" spans="1:10" s="370" customFormat="1" ht="24" x14ac:dyDescent="0.25">
      <c r="A332" s="371"/>
      <c r="C332" s="390" t="s">
        <v>890</v>
      </c>
      <c r="D332" s="372">
        <v>170000</v>
      </c>
      <c r="E332" s="372">
        <v>4</v>
      </c>
      <c r="F332" s="372">
        <v>4</v>
      </c>
      <c r="G332" s="367">
        <f t="shared" si="9"/>
        <v>2720000</v>
      </c>
      <c r="H332" s="368"/>
      <c r="I332" s="369"/>
      <c r="J332" s="369"/>
    </row>
    <row r="333" spans="1:10" s="370" customFormat="1" ht="24" x14ac:dyDescent="0.25">
      <c r="A333" s="371"/>
      <c r="C333" s="390" t="s">
        <v>891</v>
      </c>
      <c r="D333" s="372">
        <v>100000</v>
      </c>
      <c r="E333" s="372">
        <v>4</v>
      </c>
      <c r="F333" s="372">
        <v>5</v>
      </c>
      <c r="G333" s="367">
        <f t="shared" si="9"/>
        <v>2000000</v>
      </c>
      <c r="H333" s="368"/>
      <c r="I333" s="369"/>
      <c r="J333" s="369"/>
    </row>
    <row r="334" spans="1:10" s="370" customFormat="1" ht="24" x14ac:dyDescent="0.25">
      <c r="A334" s="371"/>
      <c r="C334" s="390" t="s">
        <v>892</v>
      </c>
      <c r="D334" s="372">
        <v>150000</v>
      </c>
      <c r="E334" s="372">
        <v>8</v>
      </c>
      <c r="F334" s="372">
        <v>4</v>
      </c>
      <c r="G334" s="367">
        <f t="shared" si="9"/>
        <v>4800000</v>
      </c>
      <c r="H334" s="368"/>
      <c r="I334" s="369"/>
      <c r="J334" s="369"/>
    </row>
    <row r="335" spans="1:10" s="370" customFormat="1" ht="24" x14ac:dyDescent="0.25">
      <c r="A335" s="371"/>
      <c r="C335" s="390" t="s">
        <v>893</v>
      </c>
      <c r="D335" s="372">
        <v>100000</v>
      </c>
      <c r="E335" s="372">
        <v>8</v>
      </c>
      <c r="F335" s="372">
        <v>5</v>
      </c>
      <c r="G335" s="367">
        <f t="shared" si="9"/>
        <v>4000000</v>
      </c>
      <c r="H335" s="368"/>
      <c r="I335" s="369"/>
      <c r="J335" s="369"/>
    </row>
    <row r="336" spans="1:10" s="370" customFormat="1" x14ac:dyDescent="0.25">
      <c r="A336" s="371"/>
      <c r="C336" s="370" t="s">
        <v>894</v>
      </c>
      <c r="D336" s="372">
        <v>170000</v>
      </c>
      <c r="E336" s="372">
        <v>2</v>
      </c>
      <c r="F336" s="372">
        <v>3</v>
      </c>
      <c r="G336" s="367">
        <f t="shared" si="9"/>
        <v>1020000</v>
      </c>
      <c r="H336" s="368"/>
      <c r="I336" s="369"/>
      <c r="J336" s="369"/>
    </row>
    <row r="337" spans="1:10" s="370" customFormat="1" x14ac:dyDescent="0.25">
      <c r="A337" s="371"/>
      <c r="C337" s="370" t="s">
        <v>895</v>
      </c>
      <c r="D337" s="372">
        <v>100000</v>
      </c>
      <c r="E337" s="372">
        <v>2</v>
      </c>
      <c r="F337" s="372">
        <v>4</v>
      </c>
      <c r="G337" s="367">
        <f t="shared" si="9"/>
        <v>800000</v>
      </c>
      <c r="H337" s="368"/>
      <c r="I337" s="369"/>
      <c r="J337" s="369"/>
    </row>
    <row r="338" spans="1:10" s="370" customFormat="1" x14ac:dyDescent="0.25">
      <c r="A338" s="371"/>
      <c r="C338" s="370" t="s">
        <v>896</v>
      </c>
      <c r="D338" s="372">
        <v>150000</v>
      </c>
      <c r="E338" s="372">
        <v>4</v>
      </c>
      <c r="F338" s="372">
        <v>3</v>
      </c>
      <c r="G338" s="367">
        <f t="shared" si="9"/>
        <v>1800000</v>
      </c>
      <c r="H338" s="368"/>
      <c r="I338" s="369"/>
      <c r="J338" s="369"/>
    </row>
    <row r="339" spans="1:10" s="370" customFormat="1" x14ac:dyDescent="0.25">
      <c r="A339" s="371"/>
      <c r="C339" s="370" t="s">
        <v>897</v>
      </c>
      <c r="D339" s="372">
        <v>100000</v>
      </c>
      <c r="E339" s="372">
        <v>4</v>
      </c>
      <c r="F339" s="372">
        <v>4</v>
      </c>
      <c r="G339" s="367">
        <f t="shared" si="9"/>
        <v>1600000</v>
      </c>
      <c r="H339" s="368"/>
      <c r="I339" s="369"/>
      <c r="J339" s="369"/>
    </row>
    <row r="340" spans="1:10" s="370" customFormat="1" ht="24" x14ac:dyDescent="0.25">
      <c r="A340" s="371"/>
      <c r="C340" s="390" t="s">
        <v>942</v>
      </c>
      <c r="D340" s="372">
        <v>170000</v>
      </c>
      <c r="E340" s="372">
        <v>11</v>
      </c>
      <c r="F340" s="372">
        <v>2</v>
      </c>
      <c r="G340" s="367">
        <f t="shared" si="9"/>
        <v>3740000</v>
      </c>
      <c r="H340" s="368"/>
      <c r="I340" s="369"/>
      <c r="J340" s="369"/>
    </row>
    <row r="341" spans="1:10" s="370" customFormat="1" ht="24" x14ac:dyDescent="0.25">
      <c r="A341" s="371"/>
      <c r="C341" s="390" t="s">
        <v>943</v>
      </c>
      <c r="D341" s="372">
        <v>100000</v>
      </c>
      <c r="E341" s="372">
        <v>11</v>
      </c>
      <c r="F341" s="372">
        <v>3</v>
      </c>
      <c r="G341" s="367">
        <f t="shared" si="9"/>
        <v>3300000</v>
      </c>
      <c r="H341" s="368"/>
      <c r="I341" s="369"/>
      <c r="J341" s="369"/>
    </row>
    <row r="342" spans="1:10" s="370" customFormat="1" ht="24" x14ac:dyDescent="0.25">
      <c r="A342" s="371"/>
      <c r="C342" s="390" t="s">
        <v>944</v>
      </c>
      <c r="D342" s="372">
        <v>150000</v>
      </c>
      <c r="E342" s="372">
        <v>22</v>
      </c>
      <c r="F342" s="372">
        <v>2</v>
      </c>
      <c r="G342" s="367">
        <f t="shared" si="9"/>
        <v>6600000</v>
      </c>
      <c r="H342" s="368"/>
      <c r="I342" s="369"/>
      <c r="J342" s="369"/>
    </row>
    <row r="343" spans="1:10" s="370" customFormat="1" ht="24" x14ac:dyDescent="0.25">
      <c r="A343" s="371"/>
      <c r="C343" s="390" t="s">
        <v>945</v>
      </c>
      <c r="D343" s="372">
        <v>100000</v>
      </c>
      <c r="E343" s="372">
        <v>22</v>
      </c>
      <c r="F343" s="372">
        <v>3</v>
      </c>
      <c r="G343" s="367">
        <f t="shared" si="9"/>
        <v>6600000</v>
      </c>
      <c r="H343" s="368"/>
      <c r="I343" s="369"/>
      <c r="J343" s="369"/>
    </row>
    <row r="344" spans="1:10" s="370" customFormat="1" x14ac:dyDescent="0.25">
      <c r="A344" s="371"/>
      <c r="C344" s="370" t="s">
        <v>858</v>
      </c>
      <c r="D344" s="372">
        <v>80000</v>
      </c>
      <c r="E344" s="370">
        <v>3</v>
      </c>
      <c r="F344" s="370">
        <v>1</v>
      </c>
      <c r="G344" s="367">
        <f>D344*E344*F344</f>
        <v>240000</v>
      </c>
      <c r="H344" s="368"/>
      <c r="I344" s="369"/>
      <c r="J344" s="369"/>
    </row>
    <row r="345" spans="1:10" s="370" customFormat="1" x14ac:dyDescent="0.25">
      <c r="A345" s="371"/>
      <c r="C345" s="370" t="s">
        <v>946</v>
      </c>
      <c r="D345" s="372">
        <v>8000</v>
      </c>
      <c r="E345" s="370">
        <f>816/6</f>
        <v>136</v>
      </c>
      <c r="F345" s="370">
        <v>2</v>
      </c>
      <c r="G345" s="367">
        <f t="shared" ref="G345:G361" si="10">D345*E345*F345</f>
        <v>2176000</v>
      </c>
      <c r="H345" s="368"/>
      <c r="I345" s="369"/>
      <c r="J345" s="369"/>
    </row>
    <row r="346" spans="1:10" s="370" customFormat="1" x14ac:dyDescent="0.25">
      <c r="A346" s="371"/>
      <c r="C346" s="370" t="s">
        <v>908</v>
      </c>
      <c r="D346" s="372">
        <v>8000</v>
      </c>
      <c r="E346" s="370">
        <f>893/6</f>
        <v>148.83333333333334</v>
      </c>
      <c r="F346" s="370">
        <v>2</v>
      </c>
      <c r="G346" s="367">
        <f t="shared" si="10"/>
        <v>2381333.3333333335</v>
      </c>
      <c r="H346" s="368"/>
      <c r="I346" s="369"/>
      <c r="J346" s="369"/>
    </row>
    <row r="347" spans="1:10" s="370" customFormat="1" x14ac:dyDescent="0.25">
      <c r="A347" s="371"/>
      <c r="C347" s="370" t="s">
        <v>947</v>
      </c>
      <c r="D347" s="372">
        <v>8000</v>
      </c>
      <c r="E347" s="370">
        <f>699/6</f>
        <v>116.5</v>
      </c>
      <c r="F347" s="370">
        <v>2</v>
      </c>
      <c r="G347" s="367">
        <f t="shared" si="10"/>
        <v>1864000</v>
      </c>
      <c r="H347" s="368"/>
      <c r="I347" s="369"/>
      <c r="J347" s="369"/>
    </row>
    <row r="348" spans="1:10" s="370" customFormat="1" x14ac:dyDescent="0.25">
      <c r="A348" s="371"/>
      <c r="C348" s="370" t="s">
        <v>948</v>
      </c>
      <c r="D348" s="372">
        <v>8000</v>
      </c>
      <c r="E348" s="370">
        <f>584/6</f>
        <v>97.333333333333329</v>
      </c>
      <c r="F348" s="370">
        <v>2</v>
      </c>
      <c r="G348" s="367">
        <f t="shared" si="10"/>
        <v>1557333.3333333333</v>
      </c>
      <c r="H348" s="368"/>
      <c r="I348" s="369"/>
      <c r="J348" s="369"/>
    </row>
    <row r="349" spans="1:10" s="370" customFormat="1" x14ac:dyDescent="0.25">
      <c r="A349" s="371"/>
      <c r="C349" s="370" t="s">
        <v>949</v>
      </c>
      <c r="D349" s="372">
        <v>8000</v>
      </c>
      <c r="E349" s="370">
        <f>387/6</f>
        <v>64.5</v>
      </c>
      <c r="F349" s="370">
        <v>2</v>
      </c>
      <c r="G349" s="367">
        <f t="shared" si="10"/>
        <v>1032000</v>
      </c>
      <c r="H349" s="368"/>
      <c r="I349" s="369"/>
      <c r="J349" s="369"/>
    </row>
    <row r="350" spans="1:10" s="370" customFormat="1" x14ac:dyDescent="0.25">
      <c r="A350" s="371"/>
      <c r="C350" s="370" t="s">
        <v>950</v>
      </c>
      <c r="D350" s="372">
        <v>8000</v>
      </c>
      <c r="E350" s="370">
        <f>459/6</f>
        <v>76.5</v>
      </c>
      <c r="F350" s="370">
        <v>2</v>
      </c>
      <c r="G350" s="367">
        <f t="shared" si="10"/>
        <v>1224000</v>
      </c>
      <c r="H350" s="368"/>
      <c r="I350" s="369"/>
      <c r="J350" s="369"/>
    </row>
    <row r="351" spans="1:10" s="370" customFormat="1" x14ac:dyDescent="0.25">
      <c r="A351" s="371"/>
      <c r="C351" s="370" t="s">
        <v>951</v>
      </c>
      <c r="D351" s="372">
        <v>8000</v>
      </c>
      <c r="E351" s="370">
        <f>390/6</f>
        <v>65</v>
      </c>
      <c r="F351" s="370">
        <v>2</v>
      </c>
      <c r="G351" s="367">
        <f t="shared" si="10"/>
        <v>1040000</v>
      </c>
      <c r="H351" s="368"/>
      <c r="I351" s="369"/>
      <c r="J351" s="369"/>
    </row>
    <row r="352" spans="1:10" s="370" customFormat="1" x14ac:dyDescent="0.25">
      <c r="A352" s="371"/>
      <c r="C352" s="370" t="s">
        <v>952</v>
      </c>
      <c r="D352" s="372">
        <v>8000</v>
      </c>
      <c r="E352" s="370">
        <f>640/6</f>
        <v>106.66666666666667</v>
      </c>
      <c r="F352" s="370">
        <v>2</v>
      </c>
      <c r="G352" s="367">
        <f t="shared" si="10"/>
        <v>1706666.6666666667</v>
      </c>
      <c r="H352" s="368"/>
      <c r="I352" s="369"/>
      <c r="J352" s="369"/>
    </row>
    <row r="353" spans="1:10" s="370" customFormat="1" x14ac:dyDescent="0.25">
      <c r="A353" s="371"/>
      <c r="C353" s="370" t="s">
        <v>915</v>
      </c>
      <c r="D353" s="372">
        <v>8000</v>
      </c>
      <c r="E353" s="370">
        <v>12</v>
      </c>
      <c r="F353" s="370">
        <v>2</v>
      </c>
      <c r="G353" s="367">
        <f t="shared" si="10"/>
        <v>192000</v>
      </c>
      <c r="H353" s="368"/>
      <c r="I353" s="369"/>
      <c r="J353" s="369"/>
    </row>
    <row r="354" spans="1:10" s="370" customFormat="1" x14ac:dyDescent="0.25">
      <c r="A354" s="371"/>
      <c r="C354" s="370" t="s">
        <v>916</v>
      </c>
      <c r="D354" s="372">
        <v>8000</v>
      </c>
      <c r="E354" s="370">
        <f>255/6</f>
        <v>42.5</v>
      </c>
      <c r="F354" s="370">
        <v>2</v>
      </c>
      <c r="G354" s="367">
        <f t="shared" si="10"/>
        <v>680000</v>
      </c>
      <c r="H354" s="368"/>
      <c r="I354" s="369"/>
      <c r="J354" s="369"/>
    </row>
    <row r="355" spans="1:10" s="370" customFormat="1" x14ac:dyDescent="0.25">
      <c r="A355" s="371"/>
      <c r="C355" s="370" t="s">
        <v>917</v>
      </c>
      <c r="D355" s="372">
        <v>8000</v>
      </c>
      <c r="E355" s="370">
        <f>150/8</f>
        <v>18.75</v>
      </c>
      <c r="F355" s="370">
        <v>2</v>
      </c>
      <c r="G355" s="367">
        <f t="shared" si="10"/>
        <v>300000</v>
      </c>
      <c r="H355" s="368"/>
      <c r="I355" s="369"/>
      <c r="J355" s="369"/>
    </row>
    <row r="356" spans="1:10" s="370" customFormat="1" x14ac:dyDescent="0.25">
      <c r="A356" s="371"/>
      <c r="C356" s="370" t="s">
        <v>918</v>
      </c>
      <c r="D356" s="372">
        <v>8000</v>
      </c>
      <c r="E356" s="370">
        <f>353/8</f>
        <v>44.125</v>
      </c>
      <c r="F356" s="370">
        <v>2</v>
      </c>
      <c r="G356" s="367">
        <f t="shared" si="10"/>
        <v>706000</v>
      </c>
      <c r="H356" s="368"/>
      <c r="I356" s="369"/>
      <c r="J356" s="369"/>
    </row>
    <row r="357" spans="1:10" s="370" customFormat="1" x14ac:dyDescent="0.25">
      <c r="A357" s="371"/>
      <c r="C357" s="370" t="s">
        <v>919</v>
      </c>
      <c r="D357" s="372">
        <v>8000</v>
      </c>
      <c r="E357" s="370">
        <f>469/8</f>
        <v>58.625</v>
      </c>
      <c r="F357" s="370">
        <v>2</v>
      </c>
      <c r="G357" s="367">
        <f t="shared" si="10"/>
        <v>938000</v>
      </c>
      <c r="H357" s="368"/>
      <c r="I357" s="369"/>
      <c r="J357" s="369"/>
    </row>
    <row r="358" spans="1:10" s="370" customFormat="1" x14ac:dyDescent="0.25">
      <c r="A358" s="371"/>
      <c r="C358" s="370" t="s">
        <v>953</v>
      </c>
      <c r="D358" s="372">
        <v>8000</v>
      </c>
      <c r="E358" s="370">
        <f>675/8</f>
        <v>84.375</v>
      </c>
      <c r="F358" s="370">
        <v>2</v>
      </c>
      <c r="G358" s="367">
        <f t="shared" si="10"/>
        <v>1350000</v>
      </c>
      <c r="H358" s="368"/>
      <c r="I358" s="369"/>
      <c r="J358" s="369"/>
    </row>
    <row r="359" spans="1:10" s="370" customFormat="1" x14ac:dyDescent="0.25">
      <c r="A359" s="371"/>
      <c r="C359" s="370" t="s">
        <v>954</v>
      </c>
      <c r="D359" s="372">
        <v>8000</v>
      </c>
      <c r="E359" s="370">
        <f>683/8</f>
        <v>85.375</v>
      </c>
      <c r="F359" s="370">
        <v>2</v>
      </c>
      <c r="G359" s="367">
        <f t="shared" si="10"/>
        <v>1366000</v>
      </c>
      <c r="H359" s="368"/>
      <c r="I359" s="369"/>
      <c r="J359" s="369"/>
    </row>
    <row r="360" spans="1:10" s="370" customFormat="1" x14ac:dyDescent="0.25">
      <c r="A360" s="371"/>
      <c r="C360" s="370" t="s">
        <v>955</v>
      </c>
      <c r="D360" s="372">
        <v>8000</v>
      </c>
      <c r="E360" s="370">
        <f>814/8</f>
        <v>101.75</v>
      </c>
      <c r="F360" s="370">
        <v>2</v>
      </c>
      <c r="G360" s="367">
        <f t="shared" si="10"/>
        <v>1628000</v>
      </c>
      <c r="H360" s="368"/>
      <c r="I360" s="369"/>
      <c r="J360" s="369"/>
    </row>
    <row r="361" spans="1:10" s="370" customFormat="1" x14ac:dyDescent="0.25">
      <c r="A361" s="371"/>
      <c r="C361" s="370" t="s">
        <v>956</v>
      </c>
      <c r="D361" s="372">
        <v>8000</v>
      </c>
      <c r="E361" s="370">
        <f>887/8</f>
        <v>110.875</v>
      </c>
      <c r="F361" s="370">
        <v>2</v>
      </c>
      <c r="G361" s="367">
        <f t="shared" si="10"/>
        <v>1774000</v>
      </c>
      <c r="H361" s="368"/>
      <c r="I361" s="369"/>
      <c r="J361" s="369"/>
    </row>
    <row r="362" spans="1:10" s="370" customFormat="1" x14ac:dyDescent="0.25">
      <c r="A362" s="371"/>
      <c r="C362" s="370" t="s">
        <v>957</v>
      </c>
      <c r="D362" s="372">
        <v>80000</v>
      </c>
      <c r="E362" s="370">
        <v>17</v>
      </c>
      <c r="F362" s="370">
        <v>1</v>
      </c>
      <c r="G362" s="367">
        <f t="shared" si="9"/>
        <v>1360000</v>
      </c>
      <c r="H362" s="368"/>
      <c r="I362" s="369"/>
      <c r="J362" s="369"/>
    </row>
    <row r="363" spans="1:10" s="370" customFormat="1" x14ac:dyDescent="0.25">
      <c r="A363" s="371"/>
      <c r="C363" s="370" t="s">
        <v>958</v>
      </c>
      <c r="D363" s="370">
        <v>350000</v>
      </c>
      <c r="E363" s="370">
        <v>109</v>
      </c>
      <c r="F363" s="370">
        <v>1</v>
      </c>
      <c r="G363" s="367">
        <f t="shared" si="9"/>
        <v>38150000</v>
      </c>
      <c r="H363" s="368"/>
      <c r="I363" s="369"/>
      <c r="J363" s="369"/>
    </row>
    <row r="364" spans="1:10" s="366" customFormat="1" x14ac:dyDescent="0.25">
      <c r="A364" s="386"/>
      <c r="C364" s="366" t="s">
        <v>756</v>
      </c>
      <c r="D364" s="366">
        <v>400000</v>
      </c>
      <c r="E364" s="366">
        <v>1</v>
      </c>
      <c r="F364" s="366">
        <v>1</v>
      </c>
      <c r="G364" s="367">
        <f t="shared" si="9"/>
        <v>400000</v>
      </c>
      <c r="H364" s="373"/>
      <c r="I364" s="376"/>
      <c r="J364" s="376"/>
    </row>
    <row r="365" spans="1:10" s="366" customFormat="1" x14ac:dyDescent="0.25">
      <c r="A365" s="386"/>
      <c r="C365" s="366" t="s">
        <v>60</v>
      </c>
      <c r="D365" s="366">
        <v>20000</v>
      </c>
      <c r="E365" s="366">
        <v>109</v>
      </c>
      <c r="F365" s="366">
        <v>1</v>
      </c>
      <c r="G365" s="367">
        <f t="shared" si="9"/>
        <v>2180000</v>
      </c>
      <c r="H365" s="373"/>
      <c r="I365" s="376"/>
      <c r="J365" s="376"/>
    </row>
    <row r="366" spans="1:10" s="366" customFormat="1" x14ac:dyDescent="0.25">
      <c r="A366" s="386"/>
      <c r="C366" s="366" t="s">
        <v>57</v>
      </c>
      <c r="D366" s="366">
        <v>40000</v>
      </c>
      <c r="E366" s="366">
        <v>40000</v>
      </c>
      <c r="F366" s="366">
        <v>7</v>
      </c>
      <c r="G366" s="367">
        <f>E366*F366</f>
        <v>280000</v>
      </c>
      <c r="H366" s="373"/>
      <c r="I366" s="376"/>
      <c r="J366" s="376"/>
    </row>
    <row r="367" spans="1:10" s="366" customFormat="1" x14ac:dyDescent="0.25">
      <c r="A367" s="386"/>
      <c r="C367" s="366" t="s">
        <v>59</v>
      </c>
      <c r="D367" s="366">
        <v>50000</v>
      </c>
      <c r="E367" s="366">
        <v>50</v>
      </c>
      <c r="F367" s="366">
        <v>1</v>
      </c>
      <c r="G367" s="367">
        <f t="shared" si="9"/>
        <v>2500000</v>
      </c>
      <c r="H367" s="373"/>
      <c r="I367" s="376"/>
      <c r="J367" s="376"/>
    </row>
    <row r="368" spans="1:10" s="370" customFormat="1" x14ac:dyDescent="0.25">
      <c r="A368" s="371"/>
      <c r="G368" s="372"/>
      <c r="H368" s="368"/>
      <c r="I368" s="369"/>
      <c r="J368" s="369"/>
    </row>
    <row r="369" spans="1:10" s="370" customFormat="1" x14ac:dyDescent="0.25">
      <c r="A369" s="371"/>
      <c r="C369" s="370" t="s">
        <v>140</v>
      </c>
      <c r="G369" s="389">
        <f>SUM(G323:G368)</f>
        <v>106305333.33333334</v>
      </c>
      <c r="H369" s="373">
        <f>G369/8136</f>
        <v>13066.043920026223</v>
      </c>
      <c r="I369" s="369"/>
      <c r="J369" s="369"/>
    </row>
    <row r="370" spans="1:10" s="370" customFormat="1" x14ac:dyDescent="0.25">
      <c r="A370" s="371"/>
      <c r="G370" s="372"/>
      <c r="H370" s="373"/>
      <c r="I370" s="369"/>
      <c r="J370" s="369"/>
    </row>
    <row r="371" spans="1:10" s="370" customFormat="1" x14ac:dyDescent="0.25">
      <c r="A371" s="395" t="s">
        <v>959</v>
      </c>
      <c r="B371" s="396" t="s">
        <v>960</v>
      </c>
      <c r="C371" s="366"/>
      <c r="D371" s="366"/>
      <c r="E371" s="366"/>
      <c r="F371" s="366"/>
      <c r="G371" s="367"/>
      <c r="H371" s="373"/>
      <c r="I371" s="369"/>
      <c r="J371" s="369"/>
    </row>
    <row r="372" spans="1:10" s="370" customFormat="1" x14ac:dyDescent="0.25">
      <c r="A372" s="371"/>
      <c r="C372" s="370" t="s">
        <v>279</v>
      </c>
      <c r="D372" s="370">
        <v>50000</v>
      </c>
      <c r="E372" s="370">
        <v>100</v>
      </c>
      <c r="F372" s="370">
        <v>1</v>
      </c>
      <c r="G372" s="372">
        <f>D372*E372*F372</f>
        <v>5000000</v>
      </c>
      <c r="H372" s="373"/>
      <c r="I372" s="369"/>
      <c r="J372" s="369"/>
    </row>
    <row r="373" spans="1:10" s="370" customFormat="1" x14ac:dyDescent="0.25">
      <c r="A373" s="371"/>
      <c r="C373" s="370" t="s">
        <v>961</v>
      </c>
      <c r="D373" s="370">
        <v>80000</v>
      </c>
      <c r="E373" s="370">
        <v>100</v>
      </c>
      <c r="F373" s="370">
        <v>1</v>
      </c>
      <c r="G373" s="372">
        <f>D373*E373*F373</f>
        <v>8000000</v>
      </c>
      <c r="H373" s="373"/>
      <c r="I373" s="369"/>
      <c r="J373" s="369"/>
    </row>
    <row r="374" spans="1:10" s="370" customFormat="1" x14ac:dyDescent="0.25">
      <c r="A374" s="371"/>
      <c r="G374" s="372"/>
      <c r="H374" s="373"/>
      <c r="I374" s="369"/>
      <c r="J374" s="369"/>
    </row>
    <row r="375" spans="1:10" s="370" customFormat="1" x14ac:dyDescent="0.25">
      <c r="A375" s="371"/>
      <c r="C375" s="370" t="s">
        <v>140</v>
      </c>
      <c r="G375" s="389">
        <f>SUM(G372:G374)</f>
        <v>13000000</v>
      </c>
      <c r="H375" s="373">
        <f>G375/8136</f>
        <v>1597.8367748279252</v>
      </c>
      <c r="I375" s="369"/>
      <c r="J375" s="369"/>
    </row>
    <row r="376" spans="1:10" s="370" customFormat="1" x14ac:dyDescent="0.25">
      <c r="A376" s="371"/>
      <c r="G376" s="372"/>
      <c r="H376" s="373"/>
      <c r="I376" s="369"/>
      <c r="J376" s="369"/>
    </row>
    <row r="377" spans="1:10" s="370" customFormat="1" x14ac:dyDescent="0.25">
      <c r="A377" s="371"/>
      <c r="G377" s="372"/>
      <c r="H377" s="373"/>
      <c r="I377" s="369"/>
      <c r="J377" s="369"/>
    </row>
    <row r="378" spans="1:10" s="366" customFormat="1" x14ac:dyDescent="0.25">
      <c r="A378" s="395" t="s">
        <v>962</v>
      </c>
      <c r="B378" s="396" t="s">
        <v>626</v>
      </c>
      <c r="G378" s="367"/>
      <c r="H378" s="373"/>
      <c r="I378" s="376"/>
      <c r="J378" s="376"/>
    </row>
    <row r="379" spans="1:10" s="370" customFormat="1" x14ac:dyDescent="0.25">
      <c r="A379" s="371"/>
      <c r="C379" s="366" t="s">
        <v>963</v>
      </c>
      <c r="D379" s="366">
        <v>89440</v>
      </c>
      <c r="E379" s="366">
        <v>1000</v>
      </c>
      <c r="F379" s="366">
        <v>1</v>
      </c>
      <c r="G379" s="367">
        <f>D379*E379*F379</f>
        <v>89440000</v>
      </c>
      <c r="H379" s="373"/>
      <c r="I379" s="369"/>
      <c r="J379" s="369"/>
    </row>
    <row r="380" spans="1:10" s="370" customFormat="1" ht="12.75" thickBot="1" x14ac:dyDescent="0.3">
      <c r="A380" s="371"/>
      <c r="C380" s="366"/>
      <c r="D380" s="366"/>
      <c r="E380" s="366"/>
      <c r="F380" s="366"/>
      <c r="G380" s="367"/>
      <c r="H380" s="373"/>
      <c r="I380" s="369"/>
      <c r="J380" s="369"/>
    </row>
    <row r="381" spans="1:10" s="370" customFormat="1" ht="12.75" thickBot="1" x14ac:dyDescent="0.3">
      <c r="A381" s="371"/>
      <c r="C381" s="366" t="s">
        <v>140</v>
      </c>
      <c r="D381" s="366"/>
      <c r="E381" s="366"/>
      <c r="F381" s="366"/>
      <c r="G381" s="397">
        <f>G379</f>
        <v>89440000</v>
      </c>
      <c r="H381" s="373">
        <v>10993.52</v>
      </c>
      <c r="I381" s="369"/>
      <c r="J381" s="369"/>
    </row>
    <row r="382" spans="1:10" s="370" customFormat="1" x14ac:dyDescent="0.25">
      <c r="A382" s="371"/>
      <c r="G382" s="372"/>
      <c r="H382" s="368"/>
      <c r="I382" s="369"/>
      <c r="J382" s="369"/>
    </row>
    <row r="383" spans="1:10" s="366" customFormat="1" ht="33.75" x14ac:dyDescent="0.25">
      <c r="A383" s="395" t="s">
        <v>964</v>
      </c>
      <c r="B383" s="398" t="s">
        <v>965</v>
      </c>
      <c r="C383" s="399"/>
      <c r="D383" s="399"/>
      <c r="E383" s="399"/>
      <c r="F383" s="399"/>
      <c r="G383" s="399"/>
      <c r="H383" s="373"/>
      <c r="I383" s="376"/>
      <c r="J383" s="376"/>
    </row>
    <row r="384" spans="1:10" s="370" customFormat="1" x14ac:dyDescent="0.25">
      <c r="A384" s="371"/>
      <c r="B384" s="370" t="s">
        <v>928</v>
      </c>
      <c r="C384" s="370" t="s">
        <v>39</v>
      </c>
      <c r="D384" s="370">
        <v>300000</v>
      </c>
      <c r="E384" s="370">
        <v>1</v>
      </c>
      <c r="F384" s="370">
        <v>1</v>
      </c>
      <c r="G384" s="372">
        <f>D384*E384*F384</f>
        <v>300000</v>
      </c>
      <c r="H384" s="368"/>
      <c r="I384" s="369"/>
      <c r="J384" s="369"/>
    </row>
    <row r="385" spans="1:10" s="370" customFormat="1" x14ac:dyDescent="0.25">
      <c r="A385" s="371"/>
      <c r="B385" s="370" t="s">
        <v>966</v>
      </c>
      <c r="C385" s="370" t="s">
        <v>930</v>
      </c>
      <c r="E385" s="370">
        <v>1</v>
      </c>
      <c r="F385" s="370">
        <v>1</v>
      </c>
      <c r="G385" s="372">
        <f t="shared" ref="G385:G395" si="11">D385*E385*F385</f>
        <v>0</v>
      </c>
      <c r="H385" s="368"/>
      <c r="I385" s="369"/>
      <c r="J385" s="369"/>
    </row>
    <row r="386" spans="1:10" s="370" customFormat="1" x14ac:dyDescent="0.25">
      <c r="A386" s="371"/>
      <c r="B386" s="370" t="s">
        <v>967</v>
      </c>
      <c r="C386" s="370" t="s">
        <v>867</v>
      </c>
      <c r="E386" s="370">
        <v>3</v>
      </c>
      <c r="F386" s="370">
        <v>1</v>
      </c>
      <c r="G386" s="372">
        <f t="shared" si="11"/>
        <v>0</v>
      </c>
      <c r="H386" s="368"/>
      <c r="I386" s="369"/>
      <c r="J386" s="369"/>
    </row>
    <row r="387" spans="1:10" s="370" customFormat="1" x14ac:dyDescent="0.25">
      <c r="A387" s="371"/>
      <c r="B387" s="370" t="s">
        <v>968</v>
      </c>
      <c r="C387" s="370" t="s">
        <v>969</v>
      </c>
      <c r="E387" s="370">
        <v>15</v>
      </c>
      <c r="F387" s="370">
        <v>1</v>
      </c>
      <c r="G387" s="372">
        <f t="shared" si="11"/>
        <v>0</v>
      </c>
      <c r="H387" s="368"/>
      <c r="I387" s="369"/>
      <c r="J387" s="369"/>
    </row>
    <row r="388" spans="1:10" s="370" customFormat="1" x14ac:dyDescent="0.25">
      <c r="A388" s="371"/>
      <c r="B388" s="370" t="s">
        <v>695</v>
      </c>
      <c r="C388" s="370" t="s">
        <v>970</v>
      </c>
      <c r="E388" s="370">
        <v>15</v>
      </c>
      <c r="F388" s="370">
        <v>1</v>
      </c>
      <c r="G388" s="372">
        <f t="shared" si="11"/>
        <v>0</v>
      </c>
      <c r="H388" s="368"/>
      <c r="I388" s="369"/>
      <c r="J388" s="369"/>
    </row>
    <row r="389" spans="1:10" s="370" customFormat="1" x14ac:dyDescent="0.25">
      <c r="A389" s="371"/>
      <c r="C389" s="370" t="s">
        <v>971</v>
      </c>
      <c r="E389" s="370">
        <v>12</v>
      </c>
      <c r="F389" s="370">
        <v>1</v>
      </c>
      <c r="G389" s="372">
        <f t="shared" si="11"/>
        <v>0</v>
      </c>
      <c r="H389" s="368"/>
      <c r="I389" s="369"/>
      <c r="J389" s="369"/>
    </row>
    <row r="390" spans="1:10" s="370" customFormat="1" x14ac:dyDescent="0.25">
      <c r="A390" s="371"/>
      <c r="C390" s="370" t="s">
        <v>858</v>
      </c>
      <c r="D390" s="370">
        <v>80000</v>
      </c>
      <c r="E390" s="370">
        <v>3</v>
      </c>
      <c r="F390" s="370">
        <v>1</v>
      </c>
      <c r="G390" s="372">
        <f t="shared" si="11"/>
        <v>240000</v>
      </c>
      <c r="H390" s="368"/>
      <c r="I390" s="369"/>
      <c r="J390" s="369"/>
    </row>
    <row r="391" spans="1:10" s="370" customFormat="1" x14ac:dyDescent="0.25">
      <c r="A391" s="371"/>
      <c r="C391" s="370" t="s">
        <v>958</v>
      </c>
      <c r="D391" s="370">
        <v>350000</v>
      </c>
      <c r="E391" s="370">
        <f>E389+E388+E387+E386+E385</f>
        <v>46</v>
      </c>
      <c r="F391" s="370">
        <v>1</v>
      </c>
      <c r="G391" s="372">
        <f t="shared" si="11"/>
        <v>16100000</v>
      </c>
      <c r="H391" s="368"/>
      <c r="I391" s="369"/>
      <c r="J391" s="369"/>
    </row>
    <row r="392" spans="1:10" s="370" customFormat="1" x14ac:dyDescent="0.25">
      <c r="A392" s="371"/>
      <c r="C392" s="370" t="s">
        <v>756</v>
      </c>
      <c r="D392" s="370">
        <v>400000</v>
      </c>
      <c r="E392" s="370">
        <v>1</v>
      </c>
      <c r="F392" s="370">
        <v>1</v>
      </c>
      <c r="G392" s="372">
        <f t="shared" si="11"/>
        <v>400000</v>
      </c>
      <c r="H392" s="368"/>
      <c r="I392" s="369"/>
      <c r="J392" s="369"/>
    </row>
    <row r="393" spans="1:10" s="370" customFormat="1" x14ac:dyDescent="0.25">
      <c r="A393" s="371"/>
      <c r="C393" s="370" t="s">
        <v>60</v>
      </c>
      <c r="D393" s="370">
        <v>20000</v>
      </c>
      <c r="E393" s="370">
        <v>46</v>
      </c>
      <c r="F393" s="370">
        <v>1</v>
      </c>
      <c r="G393" s="372">
        <f t="shared" si="11"/>
        <v>920000</v>
      </c>
      <c r="H393" s="368"/>
      <c r="I393" s="369"/>
      <c r="J393" s="369"/>
    </row>
    <row r="394" spans="1:10" s="370" customFormat="1" x14ac:dyDescent="0.25">
      <c r="A394" s="371"/>
      <c r="C394" s="370" t="s">
        <v>57</v>
      </c>
      <c r="D394" s="370">
        <v>40000</v>
      </c>
      <c r="E394" s="370">
        <v>7</v>
      </c>
      <c r="F394" s="370">
        <v>1</v>
      </c>
      <c r="G394" s="372">
        <f t="shared" si="11"/>
        <v>280000</v>
      </c>
      <c r="H394" s="368"/>
      <c r="I394" s="369"/>
      <c r="J394" s="369"/>
    </row>
    <row r="395" spans="1:10" s="370" customFormat="1" x14ac:dyDescent="0.25">
      <c r="A395" s="371"/>
      <c r="C395" s="370" t="s">
        <v>59</v>
      </c>
      <c r="D395" s="370">
        <v>50000</v>
      </c>
      <c r="E395" s="370">
        <v>50</v>
      </c>
      <c r="F395" s="370">
        <v>1</v>
      </c>
      <c r="G395" s="372">
        <f t="shared" si="11"/>
        <v>2500000</v>
      </c>
      <c r="H395" s="368"/>
      <c r="I395" s="369"/>
      <c r="J395" s="369"/>
    </row>
    <row r="396" spans="1:10" s="370" customFormat="1" ht="12.75" thickBot="1" x14ac:dyDescent="0.3">
      <c r="A396" s="371"/>
      <c r="G396" s="372"/>
      <c r="H396" s="368"/>
      <c r="I396" s="369"/>
      <c r="J396" s="369"/>
    </row>
    <row r="397" spans="1:10" s="370" customFormat="1" ht="12.75" thickBot="1" x14ac:dyDescent="0.3">
      <c r="A397" s="371"/>
      <c r="C397" s="370" t="s">
        <v>140</v>
      </c>
      <c r="G397" s="397">
        <f>SUM(G384:G396)</f>
        <v>20740000</v>
      </c>
      <c r="H397" s="373">
        <f>G397/8136</f>
        <v>2549.1642084562441</v>
      </c>
      <c r="I397" s="369"/>
      <c r="J397" s="369"/>
    </row>
    <row r="398" spans="1:10" s="366" customFormat="1" ht="56.25" x14ac:dyDescent="0.25">
      <c r="A398" s="395" t="s">
        <v>964</v>
      </c>
      <c r="B398" s="398" t="s">
        <v>972</v>
      </c>
      <c r="C398" s="399"/>
      <c r="D398" s="400"/>
      <c r="E398" s="400"/>
      <c r="F398" s="400"/>
      <c r="G398" s="400"/>
      <c r="H398" s="373"/>
      <c r="I398" s="376"/>
      <c r="J398" s="376"/>
    </row>
    <row r="399" spans="1:10" s="370" customFormat="1" x14ac:dyDescent="0.25">
      <c r="A399" s="371"/>
      <c r="B399" s="370" t="s">
        <v>973</v>
      </c>
      <c r="C399" s="370" t="s">
        <v>39</v>
      </c>
      <c r="D399" s="370">
        <v>300000</v>
      </c>
      <c r="E399" s="370">
        <v>1</v>
      </c>
      <c r="F399" s="370">
        <v>1</v>
      </c>
      <c r="G399" s="372">
        <f>D399*E399*F399</f>
        <v>300000</v>
      </c>
      <c r="H399" s="368"/>
      <c r="I399" s="369"/>
      <c r="J399" s="369"/>
    </row>
    <row r="400" spans="1:10" s="370" customFormat="1" x14ac:dyDescent="0.25">
      <c r="A400" s="371"/>
      <c r="B400" s="370" t="s">
        <v>974</v>
      </c>
      <c r="C400" s="370" t="s">
        <v>975</v>
      </c>
      <c r="E400" s="372">
        <v>1</v>
      </c>
      <c r="F400" s="370">
        <v>1</v>
      </c>
      <c r="G400" s="372">
        <f t="shared" ref="G400:G406" si="12">D400*E400*F400</f>
        <v>0</v>
      </c>
      <c r="H400" s="368"/>
      <c r="I400" s="369"/>
      <c r="J400" s="369"/>
    </row>
    <row r="401" spans="1:10" s="370" customFormat="1" x14ac:dyDescent="0.25">
      <c r="A401" s="371"/>
      <c r="B401" s="370" t="s">
        <v>976</v>
      </c>
      <c r="C401" s="370" t="s">
        <v>977</v>
      </c>
      <c r="E401" s="372">
        <v>18</v>
      </c>
      <c r="F401" s="370">
        <v>1</v>
      </c>
      <c r="G401" s="372">
        <f t="shared" si="12"/>
        <v>0</v>
      </c>
      <c r="H401" s="368"/>
      <c r="I401" s="369"/>
      <c r="J401" s="369"/>
    </row>
    <row r="402" spans="1:10" s="370" customFormat="1" ht="24" x14ac:dyDescent="0.25">
      <c r="A402" s="371"/>
      <c r="B402" s="370" t="s">
        <v>978</v>
      </c>
      <c r="C402" s="391" t="s">
        <v>979</v>
      </c>
      <c r="E402" s="372">
        <v>11</v>
      </c>
      <c r="F402" s="370">
        <v>1</v>
      </c>
      <c r="G402" s="372">
        <f t="shared" si="12"/>
        <v>0</v>
      </c>
      <c r="H402" s="368"/>
      <c r="I402" s="369"/>
      <c r="J402" s="369"/>
    </row>
    <row r="403" spans="1:10" s="370" customFormat="1" x14ac:dyDescent="0.25">
      <c r="A403" s="371"/>
      <c r="B403" s="370" t="s">
        <v>980</v>
      </c>
      <c r="C403" s="391" t="s">
        <v>981</v>
      </c>
      <c r="E403" s="372">
        <v>6</v>
      </c>
      <c r="F403" s="370">
        <v>1</v>
      </c>
      <c r="G403" s="372">
        <f t="shared" si="12"/>
        <v>0</v>
      </c>
      <c r="H403" s="368"/>
      <c r="I403" s="369"/>
      <c r="J403" s="369"/>
    </row>
    <row r="404" spans="1:10" s="370" customFormat="1" x14ac:dyDescent="0.25">
      <c r="A404" s="371"/>
      <c r="B404" s="370" t="s">
        <v>982</v>
      </c>
      <c r="C404" s="391" t="s">
        <v>983</v>
      </c>
      <c r="E404" s="372">
        <v>6</v>
      </c>
      <c r="F404" s="370">
        <v>1</v>
      </c>
      <c r="G404" s="372">
        <f t="shared" si="12"/>
        <v>0</v>
      </c>
      <c r="H404" s="368"/>
      <c r="I404" s="369"/>
      <c r="J404" s="369"/>
    </row>
    <row r="405" spans="1:10" s="370" customFormat="1" x14ac:dyDescent="0.25">
      <c r="A405" s="371"/>
      <c r="B405" s="370" t="s">
        <v>984</v>
      </c>
      <c r="C405" s="370" t="s">
        <v>985</v>
      </c>
      <c r="E405" s="372">
        <v>12</v>
      </c>
      <c r="F405" s="370">
        <v>1</v>
      </c>
      <c r="G405" s="372">
        <f t="shared" si="12"/>
        <v>0</v>
      </c>
      <c r="H405" s="368"/>
      <c r="I405" s="369"/>
      <c r="J405" s="369"/>
    </row>
    <row r="406" spans="1:10" s="370" customFormat="1" x14ac:dyDescent="0.25">
      <c r="A406" s="371"/>
      <c r="B406" s="370" t="s">
        <v>986</v>
      </c>
      <c r="C406" s="370" t="s">
        <v>987</v>
      </c>
      <c r="E406" s="372">
        <v>10</v>
      </c>
      <c r="F406" s="370">
        <v>1</v>
      </c>
      <c r="G406" s="372">
        <f t="shared" si="12"/>
        <v>0</v>
      </c>
      <c r="H406" s="368"/>
      <c r="I406" s="369"/>
      <c r="J406" s="369"/>
    </row>
    <row r="407" spans="1:10" s="370" customFormat="1" x14ac:dyDescent="0.25">
      <c r="A407" s="371"/>
      <c r="E407" s="372">
        <f>SUM(E400:E406)</f>
        <v>64</v>
      </c>
      <c r="G407" s="372"/>
      <c r="H407" s="368"/>
      <c r="I407" s="369"/>
      <c r="J407" s="369"/>
    </row>
    <row r="408" spans="1:10" s="370" customFormat="1" x14ac:dyDescent="0.25">
      <c r="A408" s="371"/>
      <c r="C408" s="370" t="s">
        <v>858</v>
      </c>
      <c r="D408" s="370">
        <v>80000</v>
      </c>
      <c r="E408" s="370">
        <v>3</v>
      </c>
      <c r="F408" s="370">
        <v>1</v>
      </c>
      <c r="G408" s="372">
        <f>D408*E408*F408</f>
        <v>240000</v>
      </c>
      <c r="H408" s="368"/>
      <c r="I408" s="369"/>
      <c r="J408" s="369"/>
    </row>
    <row r="409" spans="1:10" s="370" customFormat="1" x14ac:dyDescent="0.25">
      <c r="A409" s="371"/>
      <c r="C409" s="370" t="s">
        <v>958</v>
      </c>
      <c r="D409" s="370">
        <v>350000</v>
      </c>
      <c r="E409" s="370">
        <v>64</v>
      </c>
      <c r="F409" s="370">
        <v>1</v>
      </c>
      <c r="G409" s="372">
        <f t="shared" ref="G409:G412" si="13">D409*E409*F409</f>
        <v>22400000</v>
      </c>
      <c r="H409" s="368"/>
      <c r="I409" s="369"/>
      <c r="J409" s="369"/>
    </row>
    <row r="410" spans="1:10" s="370" customFormat="1" x14ac:dyDescent="0.25">
      <c r="A410" s="371"/>
      <c r="C410" s="370" t="s">
        <v>756</v>
      </c>
      <c r="D410" s="370">
        <v>400000</v>
      </c>
      <c r="E410" s="370">
        <v>1</v>
      </c>
      <c r="F410" s="370">
        <v>1</v>
      </c>
      <c r="G410" s="372">
        <f t="shared" si="13"/>
        <v>400000</v>
      </c>
      <c r="H410" s="368"/>
      <c r="I410" s="369"/>
      <c r="J410" s="369"/>
    </row>
    <row r="411" spans="1:10" s="370" customFormat="1" x14ac:dyDescent="0.25">
      <c r="A411" s="371"/>
      <c r="C411" s="370" t="s">
        <v>60</v>
      </c>
      <c r="D411" s="370">
        <v>20000</v>
      </c>
      <c r="E411" s="370">
        <v>64</v>
      </c>
      <c r="F411" s="370">
        <v>1</v>
      </c>
      <c r="G411" s="372">
        <f t="shared" si="13"/>
        <v>1280000</v>
      </c>
      <c r="H411" s="368"/>
      <c r="I411" s="369"/>
      <c r="J411" s="369"/>
    </row>
    <row r="412" spans="1:10" s="370" customFormat="1" x14ac:dyDescent="0.25">
      <c r="A412" s="371"/>
      <c r="C412" s="370" t="s">
        <v>57</v>
      </c>
      <c r="D412" s="370">
        <v>40000</v>
      </c>
      <c r="E412" s="370">
        <v>7</v>
      </c>
      <c r="F412" s="370">
        <v>1</v>
      </c>
      <c r="G412" s="372">
        <f t="shared" si="13"/>
        <v>280000</v>
      </c>
      <c r="H412" s="368"/>
      <c r="I412" s="369"/>
      <c r="J412" s="369"/>
    </row>
    <row r="413" spans="1:10" s="370" customFormat="1" ht="12.75" thickBot="1" x14ac:dyDescent="0.3">
      <c r="A413" s="371"/>
      <c r="G413" s="372"/>
      <c r="H413" s="368"/>
      <c r="I413" s="376"/>
      <c r="J413" s="369"/>
    </row>
    <row r="414" spans="1:10" s="370" customFormat="1" ht="12.75" thickBot="1" x14ac:dyDescent="0.3">
      <c r="A414" s="371"/>
      <c r="C414" s="370" t="s">
        <v>140</v>
      </c>
      <c r="G414" s="401">
        <f>SUM(G399:G413)</f>
        <v>24900000</v>
      </c>
      <c r="H414" s="373">
        <f>G414/8136</f>
        <v>3060.4719764011797</v>
      </c>
      <c r="I414" s="369"/>
      <c r="J414" s="369"/>
    </row>
    <row r="415" spans="1:10" s="366" customFormat="1" x14ac:dyDescent="0.25">
      <c r="A415" s="364" t="s">
        <v>988</v>
      </c>
      <c r="B415" s="365" t="s">
        <v>989</v>
      </c>
      <c r="C415" s="365"/>
      <c r="D415" s="365"/>
      <c r="E415" s="365"/>
      <c r="F415" s="365"/>
      <c r="G415" s="402">
        <f>G441+G466+G491+G517+G543+G564+G585+G609+G631+G654</f>
        <v>158700333.33333334</v>
      </c>
      <c r="H415" s="403">
        <f>G415/8136</f>
        <v>19505.940675188464</v>
      </c>
      <c r="I415" s="404"/>
      <c r="J415" s="376"/>
    </row>
    <row r="416" spans="1:10" s="370" customFormat="1" ht="24" x14ac:dyDescent="0.25">
      <c r="A416" s="395">
        <v>12.1</v>
      </c>
      <c r="B416" s="405" t="s">
        <v>990</v>
      </c>
      <c r="C416" s="370" t="s">
        <v>39</v>
      </c>
      <c r="D416" s="370">
        <v>150000</v>
      </c>
      <c r="E416" s="370">
        <v>1</v>
      </c>
      <c r="F416" s="370">
        <v>2</v>
      </c>
      <c r="G416" s="372">
        <v>300000</v>
      </c>
      <c r="H416" s="368"/>
      <c r="I416" s="369"/>
      <c r="J416" s="369"/>
    </row>
    <row r="417" spans="1:10" s="370" customFormat="1" x14ac:dyDescent="0.25">
      <c r="A417" s="371"/>
      <c r="B417" s="370" t="s">
        <v>991</v>
      </c>
      <c r="C417" s="370" t="s">
        <v>992</v>
      </c>
      <c r="D417" s="370">
        <v>270000</v>
      </c>
      <c r="E417" s="370">
        <v>1</v>
      </c>
      <c r="F417" s="370">
        <v>5</v>
      </c>
      <c r="G417" s="372">
        <f>F417*E417*D417</f>
        <v>1350000</v>
      </c>
      <c r="H417" s="368"/>
      <c r="I417" s="369"/>
      <c r="J417" s="369"/>
    </row>
    <row r="418" spans="1:10" s="370" customFormat="1" ht="24" x14ac:dyDescent="0.25">
      <c r="A418" s="371"/>
      <c r="B418" s="390" t="s">
        <v>993</v>
      </c>
      <c r="C418" s="370" t="s">
        <v>994</v>
      </c>
      <c r="D418" s="370">
        <v>100000</v>
      </c>
      <c r="E418" s="370">
        <v>1</v>
      </c>
      <c r="F418" s="370">
        <v>1</v>
      </c>
      <c r="G418" s="372">
        <f t="shared" ref="G418:G419" si="14">F418*E418*D418</f>
        <v>100000</v>
      </c>
      <c r="H418" s="368"/>
      <c r="I418" s="369"/>
      <c r="J418" s="369"/>
    </row>
    <row r="419" spans="1:10" s="370" customFormat="1" x14ac:dyDescent="0.25">
      <c r="A419" s="371"/>
      <c r="B419" s="370" t="s">
        <v>995</v>
      </c>
      <c r="C419" s="370" t="s">
        <v>996</v>
      </c>
      <c r="D419" s="370">
        <v>250000</v>
      </c>
      <c r="E419" s="370">
        <v>3</v>
      </c>
      <c r="F419" s="370">
        <v>5</v>
      </c>
      <c r="G419" s="372">
        <f t="shared" si="14"/>
        <v>3750000</v>
      </c>
      <c r="H419" s="368"/>
      <c r="I419" s="369"/>
      <c r="J419" s="369"/>
    </row>
    <row r="420" spans="1:10" s="370" customFormat="1" x14ac:dyDescent="0.25">
      <c r="A420" s="371"/>
      <c r="C420" s="370" t="s">
        <v>997</v>
      </c>
      <c r="D420" s="370">
        <v>100000</v>
      </c>
      <c r="E420" s="370">
        <v>3</v>
      </c>
      <c r="F420" s="370">
        <v>1</v>
      </c>
      <c r="G420" s="372">
        <f>F420*E420*D420</f>
        <v>300000</v>
      </c>
      <c r="H420" s="368"/>
      <c r="I420" s="369"/>
      <c r="J420" s="369"/>
    </row>
    <row r="421" spans="1:10" s="370" customFormat="1" x14ac:dyDescent="0.25">
      <c r="A421" s="371"/>
      <c r="C421" s="370" t="s">
        <v>998</v>
      </c>
      <c r="D421" s="370">
        <v>250000</v>
      </c>
      <c r="E421" s="370">
        <v>1</v>
      </c>
      <c r="F421" s="370">
        <v>1</v>
      </c>
      <c r="G421" s="372">
        <f t="shared" ref="G421:G439" si="15">F421*E421*D421</f>
        <v>250000</v>
      </c>
      <c r="H421" s="368"/>
      <c r="I421" s="369"/>
      <c r="J421" s="369"/>
    </row>
    <row r="422" spans="1:10" s="370" customFormat="1" x14ac:dyDescent="0.25">
      <c r="A422" s="371"/>
      <c r="C422" s="370" t="s">
        <v>999</v>
      </c>
      <c r="D422" s="370">
        <v>100000</v>
      </c>
      <c r="E422" s="370">
        <v>1</v>
      </c>
      <c r="F422" s="370">
        <v>1</v>
      </c>
      <c r="G422" s="372">
        <f t="shared" si="15"/>
        <v>100000</v>
      </c>
      <c r="H422" s="368"/>
      <c r="I422" s="369"/>
      <c r="J422" s="369"/>
    </row>
    <row r="423" spans="1:10" s="370" customFormat="1" x14ac:dyDescent="0.25">
      <c r="A423" s="371"/>
      <c r="C423" s="370" t="s">
        <v>1000</v>
      </c>
      <c r="D423" s="370">
        <v>250000</v>
      </c>
      <c r="E423" s="370">
        <v>1</v>
      </c>
      <c r="F423" s="370">
        <v>1</v>
      </c>
      <c r="G423" s="372">
        <f t="shared" si="15"/>
        <v>250000</v>
      </c>
      <c r="H423" s="368"/>
      <c r="I423" s="369"/>
      <c r="J423" s="369"/>
    </row>
    <row r="424" spans="1:10" s="370" customFormat="1" x14ac:dyDescent="0.25">
      <c r="A424" s="371"/>
      <c r="C424" s="370" t="s">
        <v>1001</v>
      </c>
      <c r="D424" s="370">
        <v>100000</v>
      </c>
      <c r="E424" s="370">
        <v>1</v>
      </c>
      <c r="F424" s="370">
        <v>1</v>
      </c>
      <c r="G424" s="372">
        <f t="shared" si="15"/>
        <v>100000</v>
      </c>
      <c r="H424" s="368"/>
      <c r="I424" s="369"/>
      <c r="J424" s="369"/>
    </row>
    <row r="425" spans="1:10" s="370" customFormat="1" x14ac:dyDescent="0.25">
      <c r="A425" s="371"/>
      <c r="C425" s="370" t="s">
        <v>1002</v>
      </c>
      <c r="E425" s="370">
        <v>3</v>
      </c>
      <c r="F425" s="370">
        <v>1</v>
      </c>
      <c r="G425" s="372">
        <f t="shared" si="15"/>
        <v>0</v>
      </c>
      <c r="H425" s="368"/>
      <c r="I425" s="369"/>
      <c r="J425" s="369"/>
    </row>
    <row r="426" spans="1:10" s="370" customFormat="1" ht="24" x14ac:dyDescent="0.25">
      <c r="A426" s="371"/>
      <c r="C426" s="390" t="s">
        <v>1003</v>
      </c>
      <c r="E426" s="370">
        <v>7</v>
      </c>
      <c r="F426" s="370">
        <v>2</v>
      </c>
      <c r="G426" s="372">
        <f t="shared" si="15"/>
        <v>0</v>
      </c>
      <c r="H426" s="368"/>
      <c r="I426" s="369"/>
      <c r="J426" s="369"/>
    </row>
    <row r="427" spans="1:10" s="370" customFormat="1" x14ac:dyDescent="0.25">
      <c r="A427" s="371"/>
      <c r="C427" s="370" t="s">
        <v>1004</v>
      </c>
      <c r="E427" s="370">
        <v>36</v>
      </c>
      <c r="F427" s="370">
        <v>2</v>
      </c>
      <c r="G427" s="372">
        <f t="shared" si="15"/>
        <v>0</v>
      </c>
      <c r="H427" s="368"/>
      <c r="I427" s="369"/>
      <c r="J427" s="369"/>
    </row>
    <row r="428" spans="1:10" s="370" customFormat="1" x14ac:dyDescent="0.25">
      <c r="A428" s="371"/>
      <c r="G428" s="406"/>
      <c r="H428" s="368"/>
      <c r="I428" s="369"/>
      <c r="J428" s="369"/>
    </row>
    <row r="429" spans="1:10" s="366" customFormat="1" x14ac:dyDescent="0.25">
      <c r="A429" s="386"/>
      <c r="C429" s="366" t="s">
        <v>1005</v>
      </c>
      <c r="D429" s="366">
        <v>1400000</v>
      </c>
      <c r="E429" s="366">
        <v>4</v>
      </c>
      <c r="F429" s="366">
        <v>1</v>
      </c>
      <c r="G429" s="367">
        <f t="shared" si="15"/>
        <v>5600000</v>
      </c>
      <c r="H429" s="373"/>
      <c r="I429" s="376"/>
      <c r="J429" s="376"/>
    </row>
    <row r="430" spans="1:10" s="366" customFormat="1" x14ac:dyDescent="0.25">
      <c r="A430" s="386"/>
      <c r="C430" s="366" t="s">
        <v>1006</v>
      </c>
      <c r="D430" s="366">
        <v>35000</v>
      </c>
      <c r="E430" s="366">
        <v>4</v>
      </c>
      <c r="F430" s="366">
        <v>2</v>
      </c>
      <c r="G430" s="367">
        <f>F430*E430*D430</f>
        <v>280000</v>
      </c>
      <c r="H430" s="373"/>
      <c r="I430" s="376"/>
      <c r="J430" s="376"/>
    </row>
    <row r="431" spans="1:10" s="366" customFormat="1" x14ac:dyDescent="0.25">
      <c r="A431" s="386"/>
      <c r="C431" s="366" t="s">
        <v>220</v>
      </c>
      <c r="D431" s="366">
        <v>80000</v>
      </c>
      <c r="E431" s="366">
        <v>1</v>
      </c>
      <c r="F431" s="366">
        <v>2</v>
      </c>
      <c r="G431" s="367">
        <f t="shared" si="15"/>
        <v>160000</v>
      </c>
      <c r="H431" s="373"/>
      <c r="I431" s="376"/>
      <c r="J431" s="376"/>
    </row>
    <row r="432" spans="1:10" s="366" customFormat="1" x14ac:dyDescent="0.25">
      <c r="A432" s="386"/>
      <c r="C432" s="366" t="s">
        <v>1007</v>
      </c>
      <c r="D432" s="366">
        <v>8000</v>
      </c>
      <c r="E432" s="366">
        <v>38.666666666666664</v>
      </c>
      <c r="F432" s="366">
        <v>2</v>
      </c>
      <c r="G432" s="367">
        <f t="shared" si="15"/>
        <v>618666.66666666663</v>
      </c>
      <c r="H432" s="373"/>
      <c r="I432" s="376"/>
      <c r="J432" s="376"/>
    </row>
    <row r="433" spans="1:10" s="366" customFormat="1" x14ac:dyDescent="0.25">
      <c r="A433" s="386"/>
      <c r="C433" s="366" t="s">
        <v>1008</v>
      </c>
      <c r="D433" s="366">
        <v>8000</v>
      </c>
      <c r="E433" s="366">
        <v>38.666666666666664</v>
      </c>
      <c r="F433" s="366">
        <v>2</v>
      </c>
      <c r="G433" s="367">
        <f t="shared" si="15"/>
        <v>618666.66666666663</v>
      </c>
      <c r="H433" s="373"/>
      <c r="I433" s="376"/>
      <c r="J433" s="376"/>
    </row>
    <row r="434" spans="1:10" s="366" customFormat="1" x14ac:dyDescent="0.25">
      <c r="A434" s="386"/>
      <c r="G434" s="407"/>
      <c r="H434" s="373"/>
      <c r="I434" s="376"/>
      <c r="J434" s="376"/>
    </row>
    <row r="435" spans="1:10" s="370" customFormat="1" x14ac:dyDescent="0.25">
      <c r="A435" s="371"/>
      <c r="C435" s="370" t="s">
        <v>231</v>
      </c>
      <c r="D435" s="370">
        <v>1000000</v>
      </c>
      <c r="E435" s="370">
        <v>1</v>
      </c>
      <c r="F435" s="370">
        <v>2</v>
      </c>
      <c r="G435" s="367">
        <f t="shared" si="15"/>
        <v>2000000</v>
      </c>
      <c r="H435" s="368"/>
      <c r="I435" s="369"/>
      <c r="J435" s="369"/>
    </row>
    <row r="436" spans="1:10" s="370" customFormat="1" x14ac:dyDescent="0.25">
      <c r="A436" s="371"/>
      <c r="C436" s="370" t="s">
        <v>97</v>
      </c>
      <c r="D436" s="370">
        <v>20000</v>
      </c>
      <c r="E436" s="370">
        <v>50</v>
      </c>
      <c r="F436" s="370">
        <v>2</v>
      </c>
      <c r="G436" s="367">
        <f>F436*E436*D436</f>
        <v>2000000</v>
      </c>
      <c r="H436" s="368"/>
      <c r="I436" s="369"/>
      <c r="J436" s="369"/>
    </row>
    <row r="437" spans="1:10" s="370" customFormat="1" x14ac:dyDescent="0.25">
      <c r="A437" s="371"/>
      <c r="C437" s="370" t="s">
        <v>756</v>
      </c>
      <c r="D437" s="370">
        <v>400000</v>
      </c>
      <c r="E437" s="370">
        <v>1</v>
      </c>
      <c r="F437" s="370">
        <v>1</v>
      </c>
      <c r="G437" s="367">
        <f t="shared" si="15"/>
        <v>400000</v>
      </c>
      <c r="H437" s="368"/>
      <c r="I437" s="369"/>
      <c r="J437" s="369"/>
    </row>
    <row r="438" spans="1:10" s="370" customFormat="1" x14ac:dyDescent="0.25">
      <c r="A438" s="371"/>
      <c r="C438" s="370" t="s">
        <v>136</v>
      </c>
      <c r="D438" s="370">
        <v>7</v>
      </c>
      <c r="E438" s="370">
        <v>40000</v>
      </c>
      <c r="F438" s="370">
        <v>2</v>
      </c>
      <c r="G438" s="367">
        <f t="shared" si="15"/>
        <v>560000</v>
      </c>
      <c r="H438" s="368"/>
      <c r="I438" s="369"/>
      <c r="J438" s="369"/>
    </row>
    <row r="439" spans="1:10" s="370" customFormat="1" x14ac:dyDescent="0.25">
      <c r="A439" s="371"/>
      <c r="C439" s="370" t="s">
        <v>59</v>
      </c>
      <c r="D439" s="370">
        <v>50000</v>
      </c>
      <c r="E439" s="370">
        <v>50</v>
      </c>
      <c r="F439" s="370">
        <v>1</v>
      </c>
      <c r="G439" s="367">
        <f t="shared" si="15"/>
        <v>2500000</v>
      </c>
      <c r="H439" s="368"/>
      <c r="I439" s="369"/>
      <c r="J439" s="369"/>
    </row>
    <row r="440" spans="1:10" s="366" customFormat="1" ht="12.75" thickBot="1" x14ac:dyDescent="0.3">
      <c r="A440" s="386"/>
      <c r="C440" s="366" t="s">
        <v>139</v>
      </c>
      <c r="D440" s="366">
        <v>5200</v>
      </c>
      <c r="E440" s="366">
        <v>50</v>
      </c>
      <c r="F440" s="366">
        <v>2</v>
      </c>
      <c r="G440" s="367">
        <f>F440*E440*D440</f>
        <v>520000</v>
      </c>
      <c r="H440" s="373"/>
      <c r="I440" s="376"/>
      <c r="J440" s="376"/>
    </row>
    <row r="441" spans="1:10" s="370" customFormat="1" ht="12.75" thickBot="1" x14ac:dyDescent="0.3">
      <c r="A441" s="371"/>
      <c r="C441" s="370" t="s">
        <v>140</v>
      </c>
      <c r="G441" s="401">
        <f>SUM(G416:G440)</f>
        <v>21757333.333333332</v>
      </c>
      <c r="H441" s="373"/>
      <c r="I441" s="369"/>
      <c r="J441" s="369"/>
    </row>
    <row r="442" spans="1:10" s="370" customFormat="1" x14ac:dyDescent="0.25">
      <c r="A442" s="371"/>
      <c r="G442" s="367"/>
      <c r="H442" s="368"/>
      <c r="I442" s="369"/>
      <c r="J442" s="369"/>
    </row>
    <row r="443" spans="1:10" s="370" customFormat="1" ht="24" x14ac:dyDescent="0.25">
      <c r="A443" s="395">
        <v>12.2</v>
      </c>
      <c r="B443" s="408" t="s">
        <v>1009</v>
      </c>
      <c r="C443" s="370" t="s">
        <v>39</v>
      </c>
      <c r="D443" s="370">
        <v>150000</v>
      </c>
      <c r="E443" s="370">
        <v>1</v>
      </c>
      <c r="F443" s="370">
        <v>2</v>
      </c>
      <c r="G443" s="372">
        <v>300000</v>
      </c>
      <c r="H443" s="368"/>
      <c r="I443" s="369"/>
      <c r="J443" s="369"/>
    </row>
    <row r="444" spans="1:10" s="370" customFormat="1" x14ac:dyDescent="0.25">
      <c r="A444" s="371"/>
      <c r="B444" s="370" t="s">
        <v>991</v>
      </c>
      <c r="C444" s="370" t="s">
        <v>1010</v>
      </c>
      <c r="D444" s="370">
        <v>250000</v>
      </c>
      <c r="E444" s="370">
        <v>1</v>
      </c>
      <c r="F444" s="370">
        <v>5</v>
      </c>
      <c r="G444" s="372">
        <f>F444*E444*D444</f>
        <v>1250000</v>
      </c>
      <c r="H444" s="368"/>
      <c r="I444" s="369"/>
      <c r="J444" s="369"/>
    </row>
    <row r="445" spans="1:10" s="370" customFormat="1" ht="24" x14ac:dyDescent="0.25">
      <c r="A445" s="371"/>
      <c r="B445" s="390" t="s">
        <v>1011</v>
      </c>
      <c r="C445" s="370" t="s">
        <v>1012</v>
      </c>
      <c r="D445" s="370">
        <v>100000</v>
      </c>
      <c r="E445" s="370">
        <v>1</v>
      </c>
      <c r="F445" s="370">
        <v>1</v>
      </c>
      <c r="G445" s="372">
        <f t="shared" ref="G445:G463" si="16">F445*E445*D445</f>
        <v>100000</v>
      </c>
      <c r="H445" s="368"/>
      <c r="I445" s="369"/>
      <c r="J445" s="369"/>
    </row>
    <row r="446" spans="1:10" s="370" customFormat="1" x14ac:dyDescent="0.25">
      <c r="A446" s="371"/>
      <c r="B446" s="370" t="s">
        <v>995</v>
      </c>
      <c r="C446" s="370" t="s">
        <v>996</v>
      </c>
      <c r="D446" s="370">
        <v>250000</v>
      </c>
      <c r="E446" s="370">
        <v>3</v>
      </c>
      <c r="F446" s="370">
        <v>5</v>
      </c>
      <c r="G446" s="372">
        <f t="shared" si="16"/>
        <v>3750000</v>
      </c>
      <c r="H446" s="368"/>
      <c r="I446" s="369"/>
      <c r="J446" s="369"/>
    </row>
    <row r="447" spans="1:10" s="370" customFormat="1" x14ac:dyDescent="0.25">
      <c r="A447" s="371"/>
      <c r="C447" s="370" t="s">
        <v>997</v>
      </c>
      <c r="D447" s="370">
        <v>100000</v>
      </c>
      <c r="E447" s="370">
        <v>3</v>
      </c>
      <c r="F447" s="370">
        <v>1</v>
      </c>
      <c r="G447" s="372">
        <f t="shared" si="16"/>
        <v>300000</v>
      </c>
      <c r="H447" s="368"/>
      <c r="I447" s="369"/>
      <c r="J447" s="369"/>
    </row>
    <row r="448" spans="1:10" s="370" customFormat="1" x14ac:dyDescent="0.25">
      <c r="A448" s="371"/>
      <c r="C448" s="370" t="s">
        <v>1013</v>
      </c>
      <c r="D448" s="370">
        <v>250000</v>
      </c>
      <c r="E448" s="370">
        <v>1</v>
      </c>
      <c r="F448" s="370">
        <v>1</v>
      </c>
      <c r="G448" s="372">
        <f t="shared" si="16"/>
        <v>250000</v>
      </c>
      <c r="H448" s="368"/>
      <c r="I448" s="369"/>
      <c r="J448" s="369"/>
    </row>
    <row r="449" spans="1:10" s="370" customFormat="1" x14ac:dyDescent="0.25">
      <c r="A449" s="371"/>
      <c r="C449" s="370" t="s">
        <v>1014</v>
      </c>
      <c r="D449" s="370">
        <v>100000</v>
      </c>
      <c r="E449" s="370">
        <v>1</v>
      </c>
      <c r="F449" s="370">
        <v>1</v>
      </c>
      <c r="G449" s="372">
        <f t="shared" si="16"/>
        <v>100000</v>
      </c>
      <c r="H449" s="368"/>
      <c r="I449" s="369"/>
      <c r="J449" s="369"/>
    </row>
    <row r="450" spans="1:10" s="370" customFormat="1" x14ac:dyDescent="0.25">
      <c r="A450" s="371"/>
      <c r="C450" s="370" t="s">
        <v>1015</v>
      </c>
      <c r="D450" s="370">
        <v>250000</v>
      </c>
      <c r="E450" s="370">
        <v>1</v>
      </c>
      <c r="F450" s="370">
        <v>1</v>
      </c>
      <c r="G450" s="372">
        <f t="shared" si="16"/>
        <v>250000</v>
      </c>
      <c r="H450" s="368"/>
      <c r="I450" s="369"/>
      <c r="J450" s="369"/>
    </row>
    <row r="451" spans="1:10" s="370" customFormat="1" x14ac:dyDescent="0.25">
      <c r="A451" s="371"/>
      <c r="C451" s="370" t="s">
        <v>1016</v>
      </c>
      <c r="D451" s="370">
        <v>100000</v>
      </c>
      <c r="E451" s="370">
        <v>1</v>
      </c>
      <c r="F451" s="370">
        <v>2</v>
      </c>
      <c r="G451" s="372">
        <f t="shared" si="16"/>
        <v>200000</v>
      </c>
      <c r="H451" s="368"/>
      <c r="I451" s="369"/>
      <c r="J451" s="369"/>
    </row>
    <row r="452" spans="1:10" s="370" customFormat="1" x14ac:dyDescent="0.25">
      <c r="A452" s="371"/>
      <c r="C452" s="370" t="s">
        <v>1017</v>
      </c>
      <c r="E452" s="370">
        <v>3</v>
      </c>
      <c r="F452" s="370">
        <v>2</v>
      </c>
      <c r="G452" s="372">
        <f t="shared" si="16"/>
        <v>0</v>
      </c>
      <c r="H452" s="368"/>
      <c r="I452" s="369"/>
      <c r="J452" s="369"/>
    </row>
    <row r="453" spans="1:10" s="370" customFormat="1" ht="24" x14ac:dyDescent="0.25">
      <c r="A453" s="371"/>
      <c r="C453" s="390" t="s">
        <v>1018</v>
      </c>
      <c r="E453" s="370">
        <v>7</v>
      </c>
      <c r="F453" s="370">
        <v>2</v>
      </c>
      <c r="G453" s="372">
        <f t="shared" si="16"/>
        <v>0</v>
      </c>
      <c r="H453" s="368"/>
      <c r="I453" s="369"/>
      <c r="J453" s="369"/>
    </row>
    <row r="454" spans="1:10" s="370" customFormat="1" x14ac:dyDescent="0.25">
      <c r="A454" s="371"/>
      <c r="C454" s="370" t="s">
        <v>1019</v>
      </c>
      <c r="E454" s="370">
        <v>36</v>
      </c>
      <c r="F454" s="370">
        <v>2</v>
      </c>
      <c r="G454" s="372">
        <f t="shared" si="16"/>
        <v>0</v>
      </c>
      <c r="H454" s="368"/>
      <c r="I454" s="369"/>
      <c r="J454" s="369"/>
    </row>
    <row r="455" spans="1:10" s="370" customFormat="1" x14ac:dyDescent="0.25">
      <c r="A455" s="371"/>
      <c r="C455" s="370" t="s">
        <v>1020</v>
      </c>
      <c r="D455" s="370">
        <v>1500000</v>
      </c>
      <c r="E455" s="370">
        <v>4</v>
      </c>
      <c r="F455" s="370">
        <v>1</v>
      </c>
      <c r="G455" s="372">
        <f t="shared" si="16"/>
        <v>6000000</v>
      </c>
      <c r="H455" s="368"/>
      <c r="I455" s="369"/>
      <c r="J455" s="369"/>
    </row>
    <row r="456" spans="1:10" s="370" customFormat="1" x14ac:dyDescent="0.25">
      <c r="A456" s="371"/>
      <c r="C456" s="370" t="s">
        <v>1006</v>
      </c>
      <c r="D456" s="370">
        <v>35000</v>
      </c>
      <c r="E456" s="370">
        <v>4</v>
      </c>
      <c r="F456" s="370">
        <v>2</v>
      </c>
      <c r="G456" s="372">
        <f t="shared" si="16"/>
        <v>280000</v>
      </c>
      <c r="H456" s="368"/>
      <c r="I456" s="369"/>
      <c r="J456" s="369"/>
    </row>
    <row r="457" spans="1:10" s="370" customFormat="1" x14ac:dyDescent="0.25">
      <c r="A457" s="371"/>
      <c r="C457" s="370" t="s">
        <v>220</v>
      </c>
      <c r="D457" s="370">
        <v>80000</v>
      </c>
      <c r="E457" s="370">
        <v>1</v>
      </c>
      <c r="F457" s="370">
        <v>2</v>
      </c>
      <c r="G457" s="372">
        <f t="shared" si="16"/>
        <v>160000</v>
      </c>
      <c r="H457" s="368"/>
      <c r="I457" s="369"/>
      <c r="J457" s="369"/>
    </row>
    <row r="458" spans="1:10" s="370" customFormat="1" x14ac:dyDescent="0.25">
      <c r="A458" s="371"/>
      <c r="C458" s="370" t="s">
        <v>1021</v>
      </c>
      <c r="D458" s="370">
        <v>8000</v>
      </c>
      <c r="E458" s="370">
        <v>32.5</v>
      </c>
      <c r="F458" s="370">
        <v>2</v>
      </c>
      <c r="G458" s="372">
        <f t="shared" si="16"/>
        <v>520000</v>
      </c>
      <c r="H458" s="368"/>
      <c r="I458" s="369"/>
      <c r="J458" s="369"/>
    </row>
    <row r="459" spans="1:10" s="370" customFormat="1" x14ac:dyDescent="0.25">
      <c r="A459" s="371"/>
      <c r="C459" s="370" t="s">
        <v>1022</v>
      </c>
      <c r="D459" s="370">
        <v>8000</v>
      </c>
      <c r="E459" s="370">
        <v>32.5</v>
      </c>
      <c r="F459" s="370">
        <v>2</v>
      </c>
      <c r="G459" s="372">
        <f t="shared" si="16"/>
        <v>520000</v>
      </c>
      <c r="H459" s="368"/>
      <c r="I459" s="369"/>
      <c r="J459" s="369"/>
    </row>
    <row r="460" spans="1:10" s="370" customFormat="1" x14ac:dyDescent="0.25">
      <c r="A460" s="371"/>
      <c r="G460" s="372">
        <f t="shared" si="16"/>
        <v>0</v>
      </c>
      <c r="H460" s="368"/>
      <c r="I460" s="369"/>
      <c r="J460" s="369"/>
    </row>
    <row r="461" spans="1:10" s="370" customFormat="1" x14ac:dyDescent="0.25">
      <c r="A461" s="371"/>
      <c r="C461" s="370" t="s">
        <v>231</v>
      </c>
      <c r="D461" s="370">
        <v>1000000</v>
      </c>
      <c r="E461" s="370">
        <v>1</v>
      </c>
      <c r="F461" s="370">
        <v>2</v>
      </c>
      <c r="G461" s="372">
        <f t="shared" si="16"/>
        <v>2000000</v>
      </c>
      <c r="H461" s="368"/>
      <c r="I461" s="369"/>
      <c r="J461" s="369"/>
    </row>
    <row r="462" spans="1:10" s="370" customFormat="1" x14ac:dyDescent="0.25">
      <c r="A462" s="371"/>
      <c r="C462" s="370" t="s">
        <v>97</v>
      </c>
      <c r="D462" s="370">
        <v>20000</v>
      </c>
      <c r="E462" s="370">
        <v>50</v>
      </c>
      <c r="F462" s="370">
        <v>2</v>
      </c>
      <c r="G462" s="372">
        <f t="shared" si="16"/>
        <v>2000000</v>
      </c>
      <c r="H462" s="368"/>
      <c r="I462" s="369"/>
      <c r="J462" s="369"/>
    </row>
    <row r="463" spans="1:10" s="370" customFormat="1" x14ac:dyDescent="0.25">
      <c r="A463" s="371"/>
      <c r="C463" s="370" t="s">
        <v>756</v>
      </c>
      <c r="D463" s="370">
        <v>400000</v>
      </c>
      <c r="E463" s="370">
        <v>1</v>
      </c>
      <c r="F463" s="370">
        <v>1</v>
      </c>
      <c r="G463" s="372">
        <f t="shared" si="16"/>
        <v>400000</v>
      </c>
      <c r="H463" s="368"/>
      <c r="I463" s="369"/>
      <c r="J463" s="369"/>
    </row>
    <row r="464" spans="1:10" s="370" customFormat="1" x14ac:dyDescent="0.25">
      <c r="A464" s="371"/>
      <c r="C464" s="370" t="s">
        <v>136</v>
      </c>
      <c r="D464" s="370">
        <v>7</v>
      </c>
      <c r="E464" s="370">
        <v>40000</v>
      </c>
      <c r="F464" s="370">
        <v>2</v>
      </c>
      <c r="G464" s="367">
        <f>F464*E464*D464</f>
        <v>560000</v>
      </c>
      <c r="H464" s="368"/>
      <c r="I464" s="369"/>
      <c r="J464" s="369"/>
    </row>
    <row r="465" spans="1:10" s="370" customFormat="1" ht="12.75" thickBot="1" x14ac:dyDescent="0.3">
      <c r="A465" s="371"/>
      <c r="C465" s="370" t="s">
        <v>139</v>
      </c>
      <c r="D465" s="370">
        <v>5000</v>
      </c>
      <c r="E465" s="370">
        <v>50</v>
      </c>
      <c r="F465" s="370">
        <v>2</v>
      </c>
      <c r="G465" s="367">
        <f>F465*E465*D465</f>
        <v>500000</v>
      </c>
      <c r="H465" s="368"/>
      <c r="I465" s="369"/>
      <c r="J465" s="369"/>
    </row>
    <row r="466" spans="1:10" s="370" customFormat="1" ht="12.75" thickBot="1" x14ac:dyDescent="0.3">
      <c r="A466" s="371"/>
      <c r="C466" s="370" t="s">
        <v>140</v>
      </c>
      <c r="G466" s="401">
        <f>SUM(G443:G465)</f>
        <v>19440000</v>
      </c>
      <c r="H466" s="373"/>
      <c r="I466" s="369"/>
      <c r="J466" s="369"/>
    </row>
    <row r="467" spans="1:10" s="370" customFormat="1" x14ac:dyDescent="0.25">
      <c r="A467" s="371"/>
      <c r="G467" s="372"/>
      <c r="H467" s="368"/>
      <c r="I467" s="369"/>
      <c r="J467" s="369"/>
    </row>
    <row r="468" spans="1:10" s="370" customFormat="1" ht="24" x14ac:dyDescent="0.25">
      <c r="A468" s="395">
        <v>12.3</v>
      </c>
      <c r="B468" s="408" t="s">
        <v>1023</v>
      </c>
      <c r="C468" s="370" t="s">
        <v>39</v>
      </c>
      <c r="D468" s="370">
        <v>150000</v>
      </c>
      <c r="E468" s="370">
        <v>1</v>
      </c>
      <c r="F468" s="370">
        <v>2</v>
      </c>
      <c r="G468" s="372">
        <f>F468*E468*D468</f>
        <v>300000</v>
      </c>
      <c r="H468" s="368"/>
      <c r="I468" s="369"/>
      <c r="J468" s="369"/>
    </row>
    <row r="469" spans="1:10" s="370" customFormat="1" x14ac:dyDescent="0.25">
      <c r="A469" s="371"/>
      <c r="B469" s="370" t="s">
        <v>991</v>
      </c>
      <c r="C469" s="370" t="s">
        <v>1010</v>
      </c>
      <c r="D469" s="370">
        <v>270000</v>
      </c>
      <c r="E469" s="370">
        <v>1</v>
      </c>
      <c r="F469" s="370">
        <v>6</v>
      </c>
      <c r="G469" s="372">
        <f>F469*E469*D469</f>
        <v>1620000</v>
      </c>
      <c r="H469" s="368"/>
      <c r="I469" s="369"/>
      <c r="J469" s="369"/>
    </row>
    <row r="470" spans="1:10" s="370" customFormat="1" ht="24" x14ac:dyDescent="0.25">
      <c r="A470" s="371"/>
      <c r="B470" s="390" t="s">
        <v>1024</v>
      </c>
      <c r="C470" s="370" t="s">
        <v>1012</v>
      </c>
      <c r="D470" s="370">
        <v>100000</v>
      </c>
      <c r="E470" s="370">
        <v>1</v>
      </c>
      <c r="F470" s="370">
        <v>1</v>
      </c>
      <c r="G470" s="372">
        <f t="shared" ref="G470:G487" si="17">F470*E470*D470</f>
        <v>100000</v>
      </c>
      <c r="H470" s="368"/>
      <c r="I470" s="369"/>
      <c r="J470" s="369"/>
    </row>
    <row r="471" spans="1:10" s="370" customFormat="1" x14ac:dyDescent="0.25">
      <c r="A471" s="371"/>
      <c r="B471" s="370" t="s">
        <v>995</v>
      </c>
      <c r="C471" s="370" t="s">
        <v>1025</v>
      </c>
      <c r="D471" s="370">
        <v>250000</v>
      </c>
      <c r="E471" s="370">
        <v>3</v>
      </c>
      <c r="F471" s="370">
        <v>6</v>
      </c>
      <c r="G471" s="372">
        <f t="shared" si="17"/>
        <v>4500000</v>
      </c>
      <c r="H471" s="368"/>
      <c r="I471" s="369"/>
      <c r="J471" s="369"/>
    </row>
    <row r="472" spans="1:10" s="370" customFormat="1" x14ac:dyDescent="0.25">
      <c r="A472" s="371"/>
      <c r="C472" s="370" t="s">
        <v>1026</v>
      </c>
      <c r="D472" s="370">
        <v>100000</v>
      </c>
      <c r="E472" s="370">
        <v>3</v>
      </c>
      <c r="F472" s="370">
        <v>1</v>
      </c>
      <c r="G472" s="372">
        <f t="shared" si="17"/>
        <v>300000</v>
      </c>
      <c r="H472" s="368"/>
      <c r="I472" s="369"/>
      <c r="J472" s="369"/>
    </row>
    <row r="473" spans="1:10" s="370" customFormat="1" x14ac:dyDescent="0.25">
      <c r="A473" s="371"/>
      <c r="C473" s="370" t="s">
        <v>1027</v>
      </c>
      <c r="D473" s="370">
        <v>250000</v>
      </c>
      <c r="E473" s="370">
        <v>1</v>
      </c>
      <c r="F473" s="370">
        <v>6</v>
      </c>
      <c r="G473" s="372">
        <f t="shared" si="17"/>
        <v>1500000</v>
      </c>
      <c r="H473" s="368"/>
      <c r="I473" s="369"/>
      <c r="J473" s="369"/>
    </row>
    <row r="474" spans="1:10" s="370" customFormat="1" x14ac:dyDescent="0.25">
      <c r="A474" s="371"/>
      <c r="C474" s="370" t="s">
        <v>1028</v>
      </c>
      <c r="D474" s="370">
        <v>100000</v>
      </c>
      <c r="E474" s="370">
        <v>1</v>
      </c>
      <c r="F474" s="370">
        <v>1</v>
      </c>
      <c r="G474" s="372">
        <f t="shared" si="17"/>
        <v>100000</v>
      </c>
      <c r="H474" s="368"/>
      <c r="I474" s="369"/>
      <c r="J474" s="369"/>
    </row>
    <row r="475" spans="1:10" s="370" customFormat="1" x14ac:dyDescent="0.25">
      <c r="A475" s="371"/>
      <c r="G475" s="406"/>
      <c r="H475" s="368"/>
      <c r="I475" s="369"/>
      <c r="J475" s="369"/>
    </row>
    <row r="476" spans="1:10" s="370" customFormat="1" x14ac:dyDescent="0.25">
      <c r="A476" s="371"/>
      <c r="C476" s="370" t="s">
        <v>1017</v>
      </c>
      <c r="E476" s="370">
        <v>3</v>
      </c>
      <c r="F476" s="370">
        <v>2</v>
      </c>
      <c r="G476" s="372">
        <f t="shared" si="17"/>
        <v>0</v>
      </c>
      <c r="H476" s="368"/>
      <c r="I476" s="369"/>
      <c r="J476" s="369"/>
    </row>
    <row r="477" spans="1:10" s="370" customFormat="1" ht="24" x14ac:dyDescent="0.25">
      <c r="A477" s="371"/>
      <c r="C477" s="390" t="s">
        <v>1029</v>
      </c>
      <c r="E477" s="370">
        <v>7</v>
      </c>
      <c r="F477" s="370">
        <v>2</v>
      </c>
      <c r="G477" s="372">
        <f t="shared" si="17"/>
        <v>0</v>
      </c>
      <c r="H477" s="368"/>
      <c r="I477" s="369"/>
      <c r="J477" s="369"/>
    </row>
    <row r="478" spans="1:10" s="370" customFormat="1" x14ac:dyDescent="0.25">
      <c r="A478" s="371"/>
      <c r="C478" s="370" t="s">
        <v>1019</v>
      </c>
      <c r="E478" s="370">
        <v>36</v>
      </c>
      <c r="F478" s="370">
        <v>2</v>
      </c>
      <c r="G478" s="372">
        <f t="shared" si="17"/>
        <v>0</v>
      </c>
      <c r="H478" s="368"/>
      <c r="I478" s="369"/>
      <c r="J478" s="369"/>
    </row>
    <row r="479" spans="1:10" s="370" customFormat="1" x14ac:dyDescent="0.25">
      <c r="A479" s="371"/>
      <c r="G479" s="372"/>
      <c r="H479" s="368"/>
      <c r="I479" s="369"/>
      <c r="J479" s="369"/>
    </row>
    <row r="480" spans="1:10" s="370" customFormat="1" x14ac:dyDescent="0.25">
      <c r="A480" s="371"/>
      <c r="C480" s="370" t="s">
        <v>1030</v>
      </c>
      <c r="D480" s="370">
        <v>8000</v>
      </c>
      <c r="E480" s="370">
        <v>10</v>
      </c>
      <c r="F480" s="370">
        <v>2</v>
      </c>
      <c r="G480" s="372">
        <f>F480*E480*D480</f>
        <v>160000</v>
      </c>
      <c r="H480" s="368"/>
      <c r="I480" s="369"/>
      <c r="J480" s="369"/>
    </row>
    <row r="481" spans="1:10" s="370" customFormat="1" x14ac:dyDescent="0.25">
      <c r="A481" s="371"/>
      <c r="C481" s="366" t="s">
        <v>1031</v>
      </c>
      <c r="D481" s="370">
        <v>8000</v>
      </c>
      <c r="E481" s="370">
        <f>887/8</f>
        <v>110.875</v>
      </c>
      <c r="F481" s="370">
        <v>1</v>
      </c>
      <c r="G481" s="372">
        <f>F481*E481*D481</f>
        <v>887000</v>
      </c>
      <c r="H481" s="368"/>
      <c r="I481" s="369"/>
      <c r="J481" s="369"/>
    </row>
    <row r="482" spans="1:10" s="370" customFormat="1" x14ac:dyDescent="0.25">
      <c r="A482" s="371"/>
      <c r="C482" s="366" t="s">
        <v>1032</v>
      </c>
      <c r="D482" s="370">
        <v>8000</v>
      </c>
      <c r="E482" s="370">
        <f>78/8</f>
        <v>9.75</v>
      </c>
      <c r="F482" s="370">
        <v>1</v>
      </c>
      <c r="G482" s="372">
        <f t="shared" si="17"/>
        <v>78000</v>
      </c>
      <c r="H482" s="368"/>
      <c r="I482" s="369"/>
      <c r="J482" s="369"/>
    </row>
    <row r="483" spans="1:10" s="370" customFormat="1" x14ac:dyDescent="0.25">
      <c r="A483" s="371"/>
      <c r="C483" s="370" t="s">
        <v>1033</v>
      </c>
      <c r="D483" s="370">
        <v>8000</v>
      </c>
      <c r="E483" s="370">
        <f>814/8</f>
        <v>101.75</v>
      </c>
      <c r="F483" s="370">
        <v>1</v>
      </c>
      <c r="G483" s="372">
        <f t="shared" si="17"/>
        <v>814000</v>
      </c>
      <c r="H483" s="368"/>
      <c r="I483" s="369"/>
      <c r="J483" s="369"/>
    </row>
    <row r="484" spans="1:10" s="370" customFormat="1" x14ac:dyDescent="0.25">
      <c r="A484" s="371"/>
      <c r="G484" s="406"/>
      <c r="H484" s="368"/>
      <c r="I484" s="369"/>
      <c r="J484" s="369"/>
    </row>
    <row r="485" spans="1:10" s="370" customFormat="1" x14ac:dyDescent="0.25">
      <c r="A485" s="371"/>
      <c r="C485" s="370" t="s">
        <v>231</v>
      </c>
      <c r="D485" s="370">
        <v>1000000</v>
      </c>
      <c r="E485" s="370">
        <v>1</v>
      </c>
      <c r="F485" s="370">
        <v>2</v>
      </c>
      <c r="G485" s="372">
        <f t="shared" si="17"/>
        <v>2000000</v>
      </c>
      <c r="H485" s="368"/>
      <c r="I485" s="369"/>
      <c r="J485" s="369"/>
    </row>
    <row r="486" spans="1:10" s="370" customFormat="1" x14ac:dyDescent="0.25">
      <c r="A486" s="371"/>
      <c r="C486" s="370" t="s">
        <v>97</v>
      </c>
      <c r="D486" s="370">
        <v>20000</v>
      </c>
      <c r="E486" s="370">
        <f>E478+E477+E476+E471+E469</f>
        <v>50</v>
      </c>
      <c r="F486" s="370">
        <v>2</v>
      </c>
      <c r="G486" s="372">
        <f t="shared" si="17"/>
        <v>2000000</v>
      </c>
      <c r="H486" s="368"/>
      <c r="I486" s="369"/>
      <c r="J486" s="369"/>
    </row>
    <row r="487" spans="1:10" s="370" customFormat="1" x14ac:dyDescent="0.25">
      <c r="A487" s="371"/>
      <c r="C487" s="370" t="s">
        <v>756</v>
      </c>
      <c r="D487" s="370">
        <v>400000</v>
      </c>
      <c r="E487" s="370">
        <v>1</v>
      </c>
      <c r="F487" s="370">
        <v>1</v>
      </c>
      <c r="G487" s="372">
        <f t="shared" si="17"/>
        <v>400000</v>
      </c>
      <c r="H487" s="368"/>
      <c r="I487" s="369"/>
      <c r="J487" s="369"/>
    </row>
    <row r="488" spans="1:10" s="370" customFormat="1" x14ac:dyDescent="0.25">
      <c r="A488" s="371"/>
      <c r="C488" s="370" t="s">
        <v>60</v>
      </c>
      <c r="D488" s="370">
        <v>20000</v>
      </c>
      <c r="E488" s="370">
        <v>50</v>
      </c>
      <c r="F488" s="370">
        <v>2</v>
      </c>
      <c r="G488" s="372">
        <f>F488*E488*D488</f>
        <v>2000000</v>
      </c>
      <c r="H488" s="368"/>
      <c r="I488" s="369"/>
      <c r="J488" s="369"/>
    </row>
    <row r="489" spans="1:10" s="370" customFormat="1" x14ac:dyDescent="0.25">
      <c r="A489" s="371"/>
      <c r="C489" s="370" t="s">
        <v>139</v>
      </c>
      <c r="D489" s="370">
        <v>5000</v>
      </c>
      <c r="E489" s="370">
        <v>50</v>
      </c>
      <c r="F489" s="370">
        <v>2</v>
      </c>
      <c r="G489" s="367">
        <f>F489*E489*D489</f>
        <v>500000</v>
      </c>
      <c r="H489" s="368"/>
      <c r="I489" s="369"/>
      <c r="J489" s="369"/>
    </row>
    <row r="490" spans="1:10" s="370" customFormat="1" ht="12.75" thickBot="1" x14ac:dyDescent="0.3">
      <c r="A490" s="371"/>
      <c r="C490" s="370" t="s">
        <v>136</v>
      </c>
      <c r="D490" s="370">
        <v>7</v>
      </c>
      <c r="E490" s="370">
        <v>40000</v>
      </c>
      <c r="F490" s="370">
        <v>2</v>
      </c>
      <c r="G490" s="367">
        <f>F490*E490*D490</f>
        <v>560000</v>
      </c>
      <c r="H490" s="368"/>
      <c r="I490" s="369"/>
      <c r="J490" s="369"/>
    </row>
    <row r="491" spans="1:10" s="370" customFormat="1" ht="12.75" thickBot="1" x14ac:dyDescent="0.3">
      <c r="A491" s="371"/>
      <c r="C491" s="370" t="s">
        <v>140</v>
      </c>
      <c r="G491" s="401">
        <f>SUM(G468:G490)</f>
        <v>17819000</v>
      </c>
      <c r="H491" s="373"/>
      <c r="I491" s="369"/>
      <c r="J491" s="369"/>
    </row>
    <row r="492" spans="1:10" s="366" customFormat="1" x14ac:dyDescent="0.25">
      <c r="A492" s="386"/>
      <c r="G492" s="367"/>
      <c r="H492" s="373"/>
      <c r="I492" s="376"/>
      <c r="J492" s="376"/>
    </row>
    <row r="493" spans="1:10" s="370" customFormat="1" ht="24" x14ac:dyDescent="0.25">
      <c r="A493" s="395">
        <v>12.4</v>
      </c>
      <c r="B493" s="408" t="s">
        <v>1034</v>
      </c>
      <c r="C493" s="370" t="s">
        <v>39</v>
      </c>
      <c r="D493" s="370">
        <v>150000</v>
      </c>
      <c r="E493" s="370">
        <v>1</v>
      </c>
      <c r="F493" s="370">
        <v>2</v>
      </c>
      <c r="G493" s="372">
        <f>F493*E493*D493</f>
        <v>300000</v>
      </c>
      <c r="H493" s="368"/>
      <c r="I493" s="369"/>
      <c r="J493" s="369"/>
    </row>
    <row r="494" spans="1:10" s="370" customFormat="1" x14ac:dyDescent="0.25">
      <c r="A494" s="371"/>
      <c r="B494" s="370" t="s">
        <v>991</v>
      </c>
      <c r="C494" s="370" t="s">
        <v>1010</v>
      </c>
      <c r="D494" s="370">
        <v>270000</v>
      </c>
      <c r="E494" s="370">
        <v>1</v>
      </c>
      <c r="F494" s="370">
        <v>5</v>
      </c>
      <c r="G494" s="372">
        <f t="shared" ref="G494:G514" si="18">F494*E494*D494</f>
        <v>1350000</v>
      </c>
      <c r="H494" s="368"/>
      <c r="I494" s="369"/>
      <c r="J494" s="369"/>
    </row>
    <row r="495" spans="1:10" s="370" customFormat="1" ht="24" x14ac:dyDescent="0.25">
      <c r="A495" s="371"/>
      <c r="B495" s="390" t="s">
        <v>1035</v>
      </c>
      <c r="C495" s="370" t="s">
        <v>1012</v>
      </c>
      <c r="D495" s="370">
        <v>100000</v>
      </c>
      <c r="E495" s="370">
        <v>1</v>
      </c>
      <c r="F495" s="370">
        <v>1</v>
      </c>
      <c r="G495" s="372">
        <f t="shared" si="18"/>
        <v>100000</v>
      </c>
      <c r="H495" s="368"/>
      <c r="I495" s="369"/>
      <c r="J495" s="369"/>
    </row>
    <row r="496" spans="1:10" s="370" customFormat="1" x14ac:dyDescent="0.25">
      <c r="A496" s="371"/>
      <c r="B496" s="370" t="s">
        <v>995</v>
      </c>
      <c r="C496" s="370" t="s">
        <v>996</v>
      </c>
      <c r="D496" s="370">
        <v>250000</v>
      </c>
      <c r="E496" s="370">
        <v>3</v>
      </c>
      <c r="F496" s="370">
        <v>5</v>
      </c>
      <c r="G496" s="372">
        <f t="shared" si="18"/>
        <v>3750000</v>
      </c>
      <c r="H496" s="368"/>
      <c r="I496" s="369"/>
      <c r="J496" s="369"/>
    </row>
    <row r="497" spans="1:10" s="370" customFormat="1" x14ac:dyDescent="0.25">
      <c r="A497" s="371"/>
      <c r="C497" s="370" t="s">
        <v>997</v>
      </c>
      <c r="D497" s="370">
        <v>100000</v>
      </c>
      <c r="E497" s="370">
        <v>3</v>
      </c>
      <c r="F497" s="370">
        <v>1</v>
      </c>
      <c r="G497" s="372">
        <f t="shared" si="18"/>
        <v>300000</v>
      </c>
      <c r="H497" s="368"/>
      <c r="I497" s="369"/>
      <c r="J497" s="369"/>
    </row>
    <row r="498" spans="1:10" s="370" customFormat="1" x14ac:dyDescent="0.25">
      <c r="A498" s="371"/>
      <c r="C498" s="370" t="s">
        <v>1036</v>
      </c>
      <c r="D498" s="370">
        <v>250000</v>
      </c>
      <c r="E498" s="370">
        <v>1</v>
      </c>
      <c r="F498" s="370">
        <v>1</v>
      </c>
      <c r="G498" s="372">
        <f t="shared" si="18"/>
        <v>250000</v>
      </c>
      <c r="H498" s="368"/>
      <c r="I498" s="369"/>
      <c r="J498" s="369"/>
    </row>
    <row r="499" spans="1:10" s="370" customFormat="1" x14ac:dyDescent="0.25">
      <c r="A499" s="371"/>
      <c r="C499" s="370" t="s">
        <v>1037</v>
      </c>
      <c r="D499" s="370">
        <v>100000</v>
      </c>
      <c r="E499" s="370">
        <v>1</v>
      </c>
      <c r="F499" s="370">
        <v>1</v>
      </c>
      <c r="G499" s="372">
        <f t="shared" si="18"/>
        <v>100000</v>
      </c>
      <c r="H499" s="368"/>
      <c r="I499" s="369"/>
      <c r="J499" s="369"/>
    </row>
    <row r="500" spans="1:10" s="370" customFormat="1" x14ac:dyDescent="0.25">
      <c r="A500" s="371"/>
      <c r="C500" s="370" t="s">
        <v>1038</v>
      </c>
      <c r="D500" s="370">
        <v>250000</v>
      </c>
      <c r="E500" s="370">
        <v>1</v>
      </c>
      <c r="F500" s="370">
        <v>1</v>
      </c>
      <c r="G500" s="372">
        <f t="shared" si="18"/>
        <v>250000</v>
      </c>
      <c r="H500" s="368"/>
      <c r="I500" s="369"/>
      <c r="J500" s="369"/>
    </row>
    <row r="501" spans="1:10" s="370" customFormat="1" x14ac:dyDescent="0.25">
      <c r="A501" s="371"/>
      <c r="C501" s="370" t="s">
        <v>1039</v>
      </c>
      <c r="D501" s="370">
        <v>100000</v>
      </c>
      <c r="E501" s="370">
        <v>1</v>
      </c>
      <c r="F501" s="370">
        <v>1</v>
      </c>
      <c r="G501" s="372">
        <f t="shared" si="18"/>
        <v>100000</v>
      </c>
      <c r="H501" s="368"/>
      <c r="I501" s="369"/>
      <c r="J501" s="369"/>
    </row>
    <row r="502" spans="1:10" s="370" customFormat="1" x14ac:dyDescent="0.25">
      <c r="A502" s="371"/>
      <c r="C502" s="370" t="s">
        <v>1017</v>
      </c>
      <c r="E502" s="370">
        <v>3</v>
      </c>
      <c r="F502" s="370">
        <v>2</v>
      </c>
      <c r="G502" s="372">
        <f t="shared" si="18"/>
        <v>0</v>
      </c>
      <c r="H502" s="368"/>
      <c r="I502" s="369"/>
      <c r="J502" s="369"/>
    </row>
    <row r="503" spans="1:10" s="370" customFormat="1" ht="24" x14ac:dyDescent="0.25">
      <c r="A503" s="371"/>
      <c r="C503" s="390" t="s">
        <v>1018</v>
      </c>
      <c r="E503" s="370">
        <v>7</v>
      </c>
      <c r="F503" s="370">
        <v>2</v>
      </c>
      <c r="G503" s="372">
        <f t="shared" si="18"/>
        <v>0</v>
      </c>
      <c r="H503" s="368"/>
      <c r="I503" s="369"/>
      <c r="J503" s="369"/>
    </row>
    <row r="504" spans="1:10" s="370" customFormat="1" x14ac:dyDescent="0.25">
      <c r="A504" s="371"/>
      <c r="C504" s="370" t="s">
        <v>1019</v>
      </c>
      <c r="E504" s="370">
        <v>36</v>
      </c>
      <c r="F504" s="370">
        <v>2</v>
      </c>
      <c r="G504" s="372">
        <f t="shared" si="18"/>
        <v>0</v>
      </c>
      <c r="H504" s="368"/>
      <c r="I504" s="369"/>
      <c r="J504" s="369"/>
    </row>
    <row r="505" spans="1:10" s="370" customFormat="1" x14ac:dyDescent="0.25">
      <c r="A505" s="371"/>
      <c r="C505" s="370" t="s">
        <v>1040</v>
      </c>
      <c r="D505" s="370">
        <v>1200000</v>
      </c>
      <c r="E505" s="370">
        <v>4</v>
      </c>
      <c r="F505" s="370">
        <v>1</v>
      </c>
      <c r="G505" s="372">
        <f t="shared" si="18"/>
        <v>4800000</v>
      </c>
      <c r="H505" s="368"/>
      <c r="I505" s="369"/>
      <c r="J505" s="369"/>
    </row>
    <row r="506" spans="1:10" s="370" customFormat="1" x14ac:dyDescent="0.25">
      <c r="A506" s="371"/>
      <c r="C506" s="370" t="s">
        <v>1006</v>
      </c>
      <c r="D506" s="370">
        <v>35000</v>
      </c>
      <c r="E506" s="370">
        <v>4</v>
      </c>
      <c r="F506" s="370">
        <v>2</v>
      </c>
      <c r="G506" s="372">
        <f t="shared" si="18"/>
        <v>280000</v>
      </c>
      <c r="H506" s="368"/>
      <c r="I506" s="369"/>
      <c r="J506" s="369"/>
    </row>
    <row r="507" spans="1:10" s="370" customFormat="1" x14ac:dyDescent="0.25">
      <c r="A507" s="371"/>
      <c r="C507" s="370" t="s">
        <v>220</v>
      </c>
      <c r="D507" s="370">
        <v>80000</v>
      </c>
      <c r="E507" s="370">
        <v>1</v>
      </c>
      <c r="F507" s="370">
        <v>2</v>
      </c>
      <c r="G507" s="372">
        <f t="shared" si="18"/>
        <v>160000</v>
      </c>
      <c r="H507" s="368"/>
      <c r="I507" s="369"/>
      <c r="J507" s="369"/>
    </row>
    <row r="508" spans="1:10" s="370" customFormat="1" x14ac:dyDescent="0.25">
      <c r="A508" s="371"/>
      <c r="C508" s="370" t="s">
        <v>1041</v>
      </c>
      <c r="D508" s="370">
        <v>8000</v>
      </c>
      <c r="E508" s="370">
        <f>250/6</f>
        <v>41.666666666666664</v>
      </c>
      <c r="F508" s="370">
        <v>2</v>
      </c>
      <c r="G508" s="372"/>
      <c r="H508" s="368"/>
      <c r="I508" s="369"/>
      <c r="J508" s="369"/>
    </row>
    <row r="509" spans="1:10" s="370" customFormat="1" x14ac:dyDescent="0.25">
      <c r="A509" s="371"/>
      <c r="C509" s="370" t="s">
        <v>1042</v>
      </c>
      <c r="D509" s="370">
        <v>8000</v>
      </c>
      <c r="E509" s="370">
        <f>E508</f>
        <v>41.666666666666664</v>
      </c>
      <c r="F509" s="370">
        <v>2</v>
      </c>
      <c r="G509" s="372"/>
      <c r="H509" s="368"/>
      <c r="I509" s="369"/>
      <c r="J509" s="369"/>
    </row>
    <row r="510" spans="1:10" s="370" customFormat="1" x14ac:dyDescent="0.25">
      <c r="A510" s="371"/>
      <c r="G510" s="372">
        <f t="shared" si="18"/>
        <v>0</v>
      </c>
      <c r="H510" s="368"/>
      <c r="I510" s="369"/>
      <c r="J510" s="369"/>
    </row>
    <row r="511" spans="1:10" s="370" customFormat="1" x14ac:dyDescent="0.25">
      <c r="A511" s="371"/>
      <c r="C511" s="370" t="s">
        <v>231</v>
      </c>
      <c r="D511" s="370">
        <v>1000000</v>
      </c>
      <c r="E511" s="370">
        <v>1</v>
      </c>
      <c r="F511" s="370">
        <v>2</v>
      </c>
      <c r="G511" s="372">
        <f t="shared" si="18"/>
        <v>2000000</v>
      </c>
      <c r="H511" s="368"/>
      <c r="I511" s="369"/>
      <c r="J511" s="369"/>
    </row>
    <row r="512" spans="1:10" s="370" customFormat="1" x14ac:dyDescent="0.25">
      <c r="A512" s="371"/>
      <c r="C512" s="370" t="s">
        <v>97</v>
      </c>
      <c r="D512" s="370">
        <v>20000</v>
      </c>
      <c r="E512" s="370">
        <v>50</v>
      </c>
      <c r="F512" s="370">
        <v>2</v>
      </c>
      <c r="G512" s="372">
        <f t="shared" si="18"/>
        <v>2000000</v>
      </c>
      <c r="H512" s="368"/>
      <c r="I512" s="369"/>
      <c r="J512" s="369"/>
    </row>
    <row r="513" spans="1:10" s="370" customFormat="1" x14ac:dyDescent="0.25">
      <c r="A513" s="371"/>
      <c r="C513" s="370" t="s">
        <v>756</v>
      </c>
      <c r="D513" s="370">
        <v>400000</v>
      </c>
      <c r="E513" s="370">
        <v>1</v>
      </c>
      <c r="F513" s="370">
        <v>1</v>
      </c>
      <c r="G513" s="372">
        <f t="shared" si="18"/>
        <v>400000</v>
      </c>
      <c r="H513" s="368"/>
      <c r="I513" s="369"/>
      <c r="J513" s="369"/>
    </row>
    <row r="514" spans="1:10" s="370" customFormat="1" x14ac:dyDescent="0.25">
      <c r="A514" s="371"/>
      <c r="C514" s="370" t="s">
        <v>136</v>
      </c>
      <c r="D514" s="370">
        <v>7</v>
      </c>
      <c r="E514" s="370">
        <v>40000</v>
      </c>
      <c r="F514" s="370">
        <v>2</v>
      </c>
      <c r="G514" s="372">
        <f t="shared" si="18"/>
        <v>560000</v>
      </c>
      <c r="H514" s="368"/>
      <c r="I514" s="369"/>
      <c r="J514" s="369"/>
    </row>
    <row r="515" spans="1:10" s="370" customFormat="1" x14ac:dyDescent="0.25">
      <c r="A515" s="371"/>
      <c r="C515" s="370" t="s">
        <v>60</v>
      </c>
      <c r="D515" s="370">
        <v>20000</v>
      </c>
      <c r="E515" s="370">
        <v>50</v>
      </c>
      <c r="F515" s="370">
        <v>2</v>
      </c>
      <c r="G515" s="372">
        <f>F515*E515*D515</f>
        <v>2000000</v>
      </c>
      <c r="H515" s="368"/>
      <c r="I515" s="369"/>
      <c r="J515" s="369"/>
    </row>
    <row r="516" spans="1:10" s="370" customFormat="1" x14ac:dyDescent="0.25">
      <c r="A516" s="371"/>
      <c r="C516" s="370" t="s">
        <v>139</v>
      </c>
      <c r="D516" s="370">
        <v>5000</v>
      </c>
      <c r="E516" s="370">
        <v>50</v>
      </c>
      <c r="F516" s="370">
        <v>2</v>
      </c>
      <c r="G516" s="409">
        <f>F516*E516*D516</f>
        <v>500000</v>
      </c>
      <c r="H516" s="368"/>
      <c r="I516" s="369"/>
      <c r="J516" s="369"/>
    </row>
    <row r="517" spans="1:10" s="370" customFormat="1" x14ac:dyDescent="0.25">
      <c r="A517" s="371"/>
      <c r="C517" s="370" t="s">
        <v>140</v>
      </c>
      <c r="G517" s="389">
        <f>SUM(G493:G516)</f>
        <v>19200000</v>
      </c>
      <c r="H517" s="373"/>
      <c r="I517" s="369"/>
      <c r="J517" s="369"/>
    </row>
    <row r="518" spans="1:10" s="370" customFormat="1" x14ac:dyDescent="0.25">
      <c r="A518" s="371"/>
      <c r="G518" s="367"/>
      <c r="H518" s="368"/>
      <c r="I518" s="369"/>
      <c r="J518" s="369"/>
    </row>
    <row r="519" spans="1:10" s="370" customFormat="1" ht="24" x14ac:dyDescent="0.25">
      <c r="A519" s="395">
        <v>12.5</v>
      </c>
      <c r="B519" s="408" t="s">
        <v>1043</v>
      </c>
      <c r="C519" s="370" t="s">
        <v>39</v>
      </c>
      <c r="D519" s="370">
        <v>150000</v>
      </c>
      <c r="E519" s="370">
        <v>1</v>
      </c>
      <c r="F519" s="370">
        <v>2</v>
      </c>
      <c r="G519" s="372">
        <f>F519*E519*D519</f>
        <v>300000</v>
      </c>
      <c r="H519" s="368"/>
      <c r="I519" s="369"/>
      <c r="J519" s="369"/>
    </row>
    <row r="520" spans="1:10" s="370" customFormat="1" x14ac:dyDescent="0.25">
      <c r="A520" s="371"/>
      <c r="B520" s="370" t="s">
        <v>991</v>
      </c>
      <c r="C520" s="370" t="s">
        <v>1010</v>
      </c>
      <c r="D520" s="370">
        <v>270000</v>
      </c>
      <c r="E520" s="370">
        <v>1</v>
      </c>
      <c r="F520" s="370">
        <v>5</v>
      </c>
      <c r="G520" s="372">
        <f t="shared" ref="G520:G541" si="19">F520*E520*D520</f>
        <v>1350000</v>
      </c>
      <c r="H520" s="368"/>
      <c r="I520" s="369"/>
      <c r="J520" s="369"/>
    </row>
    <row r="521" spans="1:10" s="370" customFormat="1" ht="24" x14ac:dyDescent="0.25">
      <c r="A521" s="371"/>
      <c r="B521" s="390" t="s">
        <v>1044</v>
      </c>
      <c r="C521" s="370" t="s">
        <v>1012</v>
      </c>
      <c r="D521" s="370">
        <v>100000</v>
      </c>
      <c r="E521" s="370">
        <v>1</v>
      </c>
      <c r="F521" s="370">
        <v>1</v>
      </c>
      <c r="G521" s="372">
        <f t="shared" si="19"/>
        <v>100000</v>
      </c>
      <c r="H521" s="368"/>
      <c r="I521" s="369"/>
      <c r="J521" s="369"/>
    </row>
    <row r="522" spans="1:10" s="370" customFormat="1" x14ac:dyDescent="0.25">
      <c r="A522" s="371"/>
      <c r="B522" s="370" t="s">
        <v>995</v>
      </c>
      <c r="C522" s="370" t="s">
        <v>996</v>
      </c>
      <c r="D522" s="370">
        <v>250000</v>
      </c>
      <c r="E522" s="370">
        <v>3</v>
      </c>
      <c r="F522" s="370">
        <v>5</v>
      </c>
      <c r="G522" s="372">
        <f t="shared" si="19"/>
        <v>3750000</v>
      </c>
      <c r="H522" s="368"/>
      <c r="I522" s="369"/>
      <c r="J522" s="369"/>
    </row>
    <row r="523" spans="1:10" s="370" customFormat="1" x14ac:dyDescent="0.25">
      <c r="A523" s="371"/>
      <c r="C523" s="370" t="s">
        <v>997</v>
      </c>
      <c r="D523" s="370">
        <v>100000</v>
      </c>
      <c r="E523" s="370">
        <v>3</v>
      </c>
      <c r="F523" s="370">
        <v>1</v>
      </c>
      <c r="G523" s="372">
        <f t="shared" si="19"/>
        <v>300000</v>
      </c>
      <c r="H523" s="368"/>
      <c r="I523" s="369"/>
      <c r="J523" s="369"/>
    </row>
    <row r="524" spans="1:10" s="370" customFormat="1" x14ac:dyDescent="0.25">
      <c r="A524" s="371"/>
      <c r="C524" s="370" t="s">
        <v>1045</v>
      </c>
      <c r="D524" s="370">
        <v>250000</v>
      </c>
      <c r="E524" s="370">
        <v>1</v>
      </c>
      <c r="F524" s="370">
        <v>1</v>
      </c>
      <c r="G524" s="372">
        <f t="shared" si="19"/>
        <v>250000</v>
      </c>
      <c r="H524" s="368"/>
      <c r="I524" s="369"/>
      <c r="J524" s="369"/>
    </row>
    <row r="525" spans="1:10" s="370" customFormat="1" x14ac:dyDescent="0.25">
      <c r="A525" s="371"/>
      <c r="C525" s="370" t="s">
        <v>1046</v>
      </c>
      <c r="D525" s="370">
        <v>100000</v>
      </c>
      <c r="E525" s="370">
        <v>1</v>
      </c>
      <c r="F525" s="370">
        <v>1</v>
      </c>
      <c r="G525" s="372">
        <f t="shared" si="19"/>
        <v>100000</v>
      </c>
      <c r="H525" s="368"/>
      <c r="I525" s="369"/>
      <c r="J525" s="369"/>
    </row>
    <row r="526" spans="1:10" s="370" customFormat="1" x14ac:dyDescent="0.25">
      <c r="A526" s="371"/>
      <c r="C526" s="370" t="s">
        <v>1047</v>
      </c>
      <c r="D526" s="370">
        <v>250000</v>
      </c>
      <c r="E526" s="370">
        <v>1</v>
      </c>
      <c r="F526" s="370">
        <v>1</v>
      </c>
      <c r="G526" s="372">
        <f t="shared" si="19"/>
        <v>250000</v>
      </c>
      <c r="H526" s="368"/>
      <c r="I526" s="369"/>
      <c r="J526" s="369"/>
    </row>
    <row r="527" spans="1:10" s="370" customFormat="1" x14ac:dyDescent="0.25">
      <c r="A527" s="371"/>
      <c r="C527" s="370" t="s">
        <v>1048</v>
      </c>
      <c r="D527" s="370">
        <v>100000</v>
      </c>
      <c r="E527" s="370">
        <v>1</v>
      </c>
      <c r="F527" s="370">
        <v>1</v>
      </c>
      <c r="G527" s="372">
        <f t="shared" si="19"/>
        <v>100000</v>
      </c>
      <c r="H527" s="368"/>
      <c r="I527" s="369"/>
      <c r="J527" s="369"/>
    </row>
    <row r="528" spans="1:10" s="370" customFormat="1" x14ac:dyDescent="0.25">
      <c r="A528" s="371"/>
      <c r="C528" s="370" t="s">
        <v>1017</v>
      </c>
      <c r="E528" s="370">
        <v>3</v>
      </c>
      <c r="F528" s="370">
        <v>2</v>
      </c>
      <c r="G528" s="372">
        <f t="shared" si="19"/>
        <v>0</v>
      </c>
      <c r="H528" s="368"/>
      <c r="I528" s="369"/>
      <c r="J528" s="369"/>
    </row>
    <row r="529" spans="1:10" s="370" customFormat="1" ht="24" x14ac:dyDescent="0.25">
      <c r="A529" s="371"/>
      <c r="C529" s="390" t="s">
        <v>1018</v>
      </c>
      <c r="E529" s="370">
        <v>7</v>
      </c>
      <c r="F529" s="370">
        <v>2</v>
      </c>
      <c r="G529" s="372">
        <f t="shared" si="19"/>
        <v>0</v>
      </c>
      <c r="H529" s="368"/>
      <c r="I529" s="369"/>
      <c r="J529" s="369"/>
    </row>
    <row r="530" spans="1:10" s="370" customFormat="1" x14ac:dyDescent="0.25">
      <c r="A530" s="371"/>
      <c r="C530" s="370" t="s">
        <v>1019</v>
      </c>
      <c r="E530" s="370">
        <v>36</v>
      </c>
      <c r="F530" s="370">
        <v>2</v>
      </c>
      <c r="G530" s="372">
        <f t="shared" si="19"/>
        <v>0</v>
      </c>
      <c r="H530" s="368"/>
      <c r="I530" s="369"/>
      <c r="J530" s="369"/>
    </row>
    <row r="531" spans="1:10" s="370" customFormat="1" x14ac:dyDescent="0.25">
      <c r="A531" s="371"/>
      <c r="C531" s="370" t="s">
        <v>1049</v>
      </c>
      <c r="D531" s="370">
        <v>1300000</v>
      </c>
      <c r="E531" s="370">
        <v>4</v>
      </c>
      <c r="F531" s="370">
        <v>1</v>
      </c>
      <c r="G531" s="372">
        <f t="shared" si="19"/>
        <v>5200000</v>
      </c>
      <c r="H531" s="368"/>
      <c r="I531" s="369"/>
      <c r="J531" s="369"/>
    </row>
    <row r="532" spans="1:10" s="370" customFormat="1" x14ac:dyDescent="0.25">
      <c r="A532" s="371"/>
      <c r="C532" s="370" t="s">
        <v>1006</v>
      </c>
      <c r="D532" s="370">
        <v>35000</v>
      </c>
      <c r="E532" s="370">
        <v>4</v>
      </c>
      <c r="F532" s="370">
        <v>2</v>
      </c>
      <c r="G532" s="372">
        <f t="shared" si="19"/>
        <v>280000</v>
      </c>
      <c r="H532" s="368"/>
      <c r="I532" s="369"/>
      <c r="J532" s="369"/>
    </row>
    <row r="533" spans="1:10" s="370" customFormat="1" x14ac:dyDescent="0.25">
      <c r="A533" s="371"/>
      <c r="C533" s="370" t="s">
        <v>220</v>
      </c>
      <c r="D533" s="370">
        <v>80000</v>
      </c>
      <c r="E533" s="370">
        <v>1</v>
      </c>
      <c r="F533" s="370">
        <v>2</v>
      </c>
      <c r="G533" s="372">
        <f t="shared" si="19"/>
        <v>160000</v>
      </c>
      <c r="H533" s="368"/>
      <c r="I533" s="369"/>
      <c r="J533" s="369"/>
    </row>
    <row r="534" spans="1:10" s="370" customFormat="1" x14ac:dyDescent="0.25">
      <c r="A534" s="371"/>
      <c r="C534" s="370" t="s">
        <v>1050</v>
      </c>
      <c r="D534" s="370">
        <v>8000</v>
      </c>
      <c r="E534" s="370">
        <v>19.5</v>
      </c>
      <c r="F534" s="370">
        <v>2</v>
      </c>
      <c r="G534" s="372">
        <f t="shared" si="19"/>
        <v>312000</v>
      </c>
      <c r="H534" s="368"/>
      <c r="I534" s="369"/>
      <c r="J534" s="369"/>
    </row>
    <row r="535" spans="1:10" s="370" customFormat="1" x14ac:dyDescent="0.25">
      <c r="A535" s="371"/>
      <c r="C535" s="370" t="s">
        <v>1051</v>
      </c>
      <c r="D535" s="370">
        <v>8000</v>
      </c>
      <c r="E535" s="370">
        <v>19.5</v>
      </c>
      <c r="F535" s="370">
        <v>2</v>
      </c>
      <c r="G535" s="372">
        <f t="shared" si="19"/>
        <v>312000</v>
      </c>
      <c r="H535" s="368"/>
      <c r="I535" s="369"/>
      <c r="J535" s="369"/>
    </row>
    <row r="536" spans="1:10" s="370" customFormat="1" x14ac:dyDescent="0.25">
      <c r="A536" s="371"/>
      <c r="G536" s="372">
        <f t="shared" si="19"/>
        <v>0</v>
      </c>
      <c r="H536" s="368"/>
      <c r="I536" s="369"/>
      <c r="J536" s="369"/>
    </row>
    <row r="537" spans="1:10" s="370" customFormat="1" x14ac:dyDescent="0.25">
      <c r="A537" s="371"/>
      <c r="C537" s="370" t="s">
        <v>231</v>
      </c>
      <c r="D537" s="370">
        <v>1000000</v>
      </c>
      <c r="E537" s="370">
        <v>1</v>
      </c>
      <c r="F537" s="370">
        <v>2</v>
      </c>
      <c r="G537" s="372">
        <f t="shared" si="19"/>
        <v>2000000</v>
      </c>
      <c r="H537" s="368"/>
      <c r="I537" s="369"/>
      <c r="J537" s="369"/>
    </row>
    <row r="538" spans="1:10" s="370" customFormat="1" x14ac:dyDescent="0.25">
      <c r="A538" s="371"/>
      <c r="C538" s="370" t="s">
        <v>97</v>
      </c>
      <c r="D538" s="370">
        <v>20000</v>
      </c>
      <c r="E538" s="370">
        <v>50</v>
      </c>
      <c r="F538" s="370">
        <v>2</v>
      </c>
      <c r="G538" s="372">
        <f t="shared" si="19"/>
        <v>2000000</v>
      </c>
      <c r="H538" s="368"/>
      <c r="I538" s="369"/>
      <c r="J538" s="369"/>
    </row>
    <row r="539" spans="1:10" s="370" customFormat="1" x14ac:dyDescent="0.25">
      <c r="A539" s="371"/>
      <c r="C539" s="370" t="s">
        <v>756</v>
      </c>
      <c r="D539" s="370">
        <v>400000</v>
      </c>
      <c r="E539" s="370">
        <v>1</v>
      </c>
      <c r="F539" s="370">
        <v>2</v>
      </c>
      <c r="G539" s="372">
        <f t="shared" si="19"/>
        <v>800000</v>
      </c>
      <c r="H539" s="368"/>
      <c r="I539" s="369"/>
      <c r="J539" s="369"/>
    </row>
    <row r="540" spans="1:10" s="370" customFormat="1" x14ac:dyDescent="0.25">
      <c r="A540" s="371"/>
      <c r="C540" s="370" t="s">
        <v>60</v>
      </c>
      <c r="D540" s="370">
        <v>20000</v>
      </c>
      <c r="E540" s="370">
        <v>50</v>
      </c>
      <c r="F540" s="370">
        <v>2</v>
      </c>
      <c r="G540" s="372">
        <f t="shared" si="19"/>
        <v>2000000</v>
      </c>
      <c r="H540" s="368"/>
      <c r="I540" s="369"/>
      <c r="J540" s="369"/>
    </row>
    <row r="541" spans="1:10" s="370" customFormat="1" x14ac:dyDescent="0.25">
      <c r="A541" s="371"/>
      <c r="C541" s="370" t="s">
        <v>136</v>
      </c>
      <c r="D541" s="370">
        <v>7</v>
      </c>
      <c r="E541" s="370">
        <v>40000</v>
      </c>
      <c r="F541" s="370">
        <v>2</v>
      </c>
      <c r="G541" s="372">
        <f t="shared" si="19"/>
        <v>560000</v>
      </c>
      <c r="H541" s="368"/>
      <c r="I541" s="369"/>
      <c r="J541" s="369"/>
    </row>
    <row r="542" spans="1:10" s="370" customFormat="1" ht="12.75" thickBot="1" x14ac:dyDescent="0.3">
      <c r="A542" s="371"/>
      <c r="C542" s="370" t="s">
        <v>139</v>
      </c>
      <c r="D542" s="370">
        <v>5000</v>
      </c>
      <c r="E542" s="370">
        <v>50</v>
      </c>
      <c r="F542" s="370">
        <v>2</v>
      </c>
      <c r="G542" s="367">
        <f>F542*E542*D542</f>
        <v>500000</v>
      </c>
      <c r="H542" s="368"/>
      <c r="I542" s="369"/>
      <c r="J542" s="369"/>
    </row>
    <row r="543" spans="1:10" s="370" customFormat="1" ht="12.75" thickBot="1" x14ac:dyDescent="0.3">
      <c r="A543" s="371"/>
      <c r="C543" s="370" t="s">
        <v>140</v>
      </c>
      <c r="G543" s="401">
        <f>SUM(G519:G542)</f>
        <v>20624000</v>
      </c>
      <c r="H543" s="373"/>
      <c r="I543" s="369"/>
      <c r="J543" s="369"/>
    </row>
    <row r="544" spans="1:10" s="370" customFormat="1" x14ac:dyDescent="0.25">
      <c r="A544" s="371"/>
      <c r="G544" s="372"/>
      <c r="H544" s="368"/>
      <c r="I544" s="369"/>
      <c r="J544" s="369"/>
    </row>
    <row r="545" spans="1:10" s="370" customFormat="1" x14ac:dyDescent="0.25">
      <c r="A545" s="371"/>
      <c r="G545" s="372"/>
      <c r="H545" s="368"/>
      <c r="I545" s="369"/>
      <c r="J545" s="369"/>
    </row>
    <row r="546" spans="1:10" s="370" customFormat="1" ht="36" x14ac:dyDescent="0.25">
      <c r="A546" s="395">
        <v>12.6</v>
      </c>
      <c r="B546" s="408" t="s">
        <v>1052</v>
      </c>
      <c r="C546" s="370" t="s">
        <v>39</v>
      </c>
      <c r="D546" s="370">
        <v>150000</v>
      </c>
      <c r="E546" s="370">
        <v>1</v>
      </c>
      <c r="F546" s="370">
        <v>1</v>
      </c>
      <c r="G546" s="372">
        <v>150000</v>
      </c>
      <c r="H546" s="368"/>
      <c r="I546" s="369"/>
      <c r="J546" s="369"/>
    </row>
    <row r="547" spans="1:10" s="370" customFormat="1" x14ac:dyDescent="0.25">
      <c r="A547" s="371"/>
      <c r="B547" s="370" t="s">
        <v>991</v>
      </c>
      <c r="C547" s="370" t="s">
        <v>1010</v>
      </c>
      <c r="E547" s="366">
        <v>1</v>
      </c>
      <c r="F547" s="370">
        <v>1</v>
      </c>
      <c r="G547" s="372">
        <v>0</v>
      </c>
      <c r="H547" s="368"/>
      <c r="I547" s="369"/>
      <c r="J547" s="369"/>
    </row>
    <row r="548" spans="1:10" s="370" customFormat="1" ht="48" x14ac:dyDescent="0.25">
      <c r="A548" s="371"/>
      <c r="B548" s="390" t="s">
        <v>1053</v>
      </c>
      <c r="C548" s="370" t="s">
        <v>1012</v>
      </c>
      <c r="E548" s="366">
        <v>1</v>
      </c>
      <c r="F548" s="370">
        <v>1</v>
      </c>
      <c r="G548" s="372">
        <v>0</v>
      </c>
      <c r="H548" s="368"/>
      <c r="I548" s="369"/>
      <c r="J548" s="369"/>
    </row>
    <row r="549" spans="1:10" s="370" customFormat="1" x14ac:dyDescent="0.25">
      <c r="A549" s="371"/>
      <c r="B549" s="370" t="s">
        <v>1054</v>
      </c>
      <c r="C549" s="370" t="s">
        <v>1055</v>
      </c>
      <c r="E549" s="366">
        <v>3</v>
      </c>
      <c r="F549" s="370">
        <v>1</v>
      </c>
      <c r="G549" s="372">
        <v>0</v>
      </c>
      <c r="H549" s="368"/>
      <c r="I549" s="369"/>
      <c r="J549" s="369"/>
    </row>
    <row r="550" spans="1:10" s="370" customFormat="1" x14ac:dyDescent="0.25">
      <c r="A550" s="371"/>
      <c r="C550" s="370" t="s">
        <v>509</v>
      </c>
      <c r="E550" s="366">
        <v>3</v>
      </c>
      <c r="F550" s="370">
        <v>1</v>
      </c>
      <c r="G550" s="372">
        <v>0</v>
      </c>
      <c r="H550" s="368"/>
      <c r="I550" s="369"/>
      <c r="J550" s="369"/>
    </row>
    <row r="551" spans="1:10" s="370" customFormat="1" x14ac:dyDescent="0.25">
      <c r="A551" s="371"/>
      <c r="C551" s="370" t="s">
        <v>1027</v>
      </c>
      <c r="E551" s="366">
        <v>1</v>
      </c>
      <c r="F551" s="370">
        <v>1</v>
      </c>
      <c r="G551" s="372">
        <v>0</v>
      </c>
      <c r="H551" s="368"/>
      <c r="I551" s="369"/>
      <c r="J551" s="369"/>
    </row>
    <row r="552" spans="1:10" s="370" customFormat="1" x14ac:dyDescent="0.25">
      <c r="A552" s="371"/>
      <c r="C552" s="370" t="s">
        <v>1028</v>
      </c>
      <c r="E552" s="366">
        <v>1</v>
      </c>
      <c r="F552" s="370">
        <v>1</v>
      </c>
      <c r="G552" s="372">
        <v>0</v>
      </c>
      <c r="H552" s="368"/>
      <c r="I552" s="369"/>
      <c r="J552" s="369"/>
    </row>
    <row r="553" spans="1:10" s="370" customFormat="1" x14ac:dyDescent="0.25">
      <c r="A553" s="371"/>
      <c r="C553" s="370" t="s">
        <v>1017</v>
      </c>
      <c r="E553" s="366">
        <v>3</v>
      </c>
      <c r="F553" s="370">
        <v>1</v>
      </c>
      <c r="G553" s="372">
        <v>0</v>
      </c>
      <c r="H553" s="368"/>
      <c r="I553" s="369"/>
      <c r="J553" s="369"/>
    </row>
    <row r="554" spans="1:10" s="370" customFormat="1" ht="24" x14ac:dyDescent="0.25">
      <c r="A554" s="371"/>
      <c r="C554" s="390" t="s">
        <v>1056</v>
      </c>
      <c r="E554" s="366">
        <v>7</v>
      </c>
      <c r="F554" s="370">
        <v>1</v>
      </c>
      <c r="G554" s="372">
        <v>0</v>
      </c>
      <c r="H554" s="368"/>
      <c r="I554" s="369"/>
      <c r="J554" s="369"/>
    </row>
    <row r="555" spans="1:10" s="370" customFormat="1" x14ac:dyDescent="0.25">
      <c r="A555" s="371"/>
      <c r="C555" s="370" t="s">
        <v>1057</v>
      </c>
      <c r="E555" s="366">
        <v>36</v>
      </c>
      <c r="F555" s="370">
        <v>1</v>
      </c>
      <c r="G555" s="372">
        <v>0</v>
      </c>
      <c r="H555" s="368"/>
      <c r="I555" s="369"/>
      <c r="J555" s="369"/>
    </row>
    <row r="556" spans="1:10" s="370" customFormat="1" x14ac:dyDescent="0.25">
      <c r="A556" s="371"/>
      <c r="C556" s="370" t="s">
        <v>1058</v>
      </c>
      <c r="D556" s="370">
        <v>80000</v>
      </c>
      <c r="E556" s="370">
        <v>1</v>
      </c>
      <c r="F556" s="370">
        <v>1</v>
      </c>
      <c r="G556" s="372">
        <v>80000</v>
      </c>
      <c r="H556" s="368"/>
      <c r="I556" s="369"/>
      <c r="J556" s="369"/>
    </row>
    <row r="557" spans="1:10" s="370" customFormat="1" x14ac:dyDescent="0.25">
      <c r="A557" s="371"/>
      <c r="G557" s="372"/>
      <c r="H557" s="368"/>
      <c r="I557" s="369"/>
      <c r="J557" s="369"/>
    </row>
    <row r="558" spans="1:10" s="370" customFormat="1" x14ac:dyDescent="0.25">
      <c r="A558" s="371"/>
      <c r="C558" s="370" t="s">
        <v>231</v>
      </c>
      <c r="D558" s="370">
        <v>2000000</v>
      </c>
      <c r="E558" s="370">
        <v>1</v>
      </c>
      <c r="F558" s="370">
        <v>1</v>
      </c>
      <c r="G558" s="372">
        <f>F558*E558*D558</f>
        <v>2000000</v>
      </c>
      <c r="H558" s="368"/>
      <c r="I558" s="369"/>
      <c r="J558" s="369"/>
    </row>
    <row r="559" spans="1:10" s="370" customFormat="1" x14ac:dyDescent="0.25">
      <c r="A559" s="371"/>
      <c r="C559" s="370" t="s">
        <v>97</v>
      </c>
      <c r="D559" s="370">
        <v>20000</v>
      </c>
      <c r="E559" s="370">
        <f>E555+E554+E553+E549+E547</f>
        <v>50</v>
      </c>
      <c r="F559" s="370">
        <v>1</v>
      </c>
      <c r="G559" s="372">
        <f t="shared" ref="G559:G562" si="20">F559*E559*D559</f>
        <v>1000000</v>
      </c>
      <c r="H559" s="368"/>
      <c r="I559" s="369"/>
      <c r="J559" s="369"/>
    </row>
    <row r="560" spans="1:10" s="370" customFormat="1" x14ac:dyDescent="0.25">
      <c r="A560" s="371"/>
      <c r="C560" s="370" t="s">
        <v>756</v>
      </c>
      <c r="D560" s="370">
        <v>400000</v>
      </c>
      <c r="E560" s="370">
        <v>1</v>
      </c>
      <c r="F560" s="370">
        <v>2</v>
      </c>
      <c r="G560" s="372">
        <f t="shared" si="20"/>
        <v>800000</v>
      </c>
      <c r="H560" s="368"/>
      <c r="I560" s="369"/>
      <c r="J560" s="369"/>
    </row>
    <row r="561" spans="1:10" s="370" customFormat="1" x14ac:dyDescent="0.25">
      <c r="A561" s="371"/>
      <c r="C561" s="370" t="s">
        <v>60</v>
      </c>
      <c r="D561" s="370">
        <v>20000</v>
      </c>
      <c r="E561" s="370">
        <v>50</v>
      </c>
      <c r="F561" s="370">
        <v>1</v>
      </c>
      <c r="G561" s="372">
        <f t="shared" si="20"/>
        <v>1000000</v>
      </c>
      <c r="H561" s="368"/>
      <c r="I561" s="369"/>
      <c r="J561" s="369"/>
    </row>
    <row r="562" spans="1:10" s="370" customFormat="1" x14ac:dyDescent="0.25">
      <c r="A562" s="371"/>
      <c r="C562" s="370" t="s">
        <v>136</v>
      </c>
      <c r="D562" s="370">
        <v>7</v>
      </c>
      <c r="E562" s="370">
        <v>40000</v>
      </c>
      <c r="F562" s="370">
        <v>1</v>
      </c>
      <c r="G562" s="372">
        <f t="shared" si="20"/>
        <v>280000</v>
      </c>
      <c r="H562" s="368"/>
      <c r="I562" s="369"/>
      <c r="J562" s="369"/>
    </row>
    <row r="563" spans="1:10" s="370" customFormat="1" x14ac:dyDescent="0.25">
      <c r="A563" s="371"/>
      <c r="C563" s="370" t="s">
        <v>139</v>
      </c>
      <c r="D563" s="370">
        <v>5000</v>
      </c>
      <c r="E563" s="370">
        <v>50</v>
      </c>
      <c r="F563" s="370">
        <v>2</v>
      </c>
      <c r="G563" s="409">
        <f>F563*E563*D563</f>
        <v>500000</v>
      </c>
      <c r="H563" s="368"/>
      <c r="I563" s="369"/>
      <c r="J563" s="369"/>
    </row>
    <row r="564" spans="1:10" s="370" customFormat="1" x14ac:dyDescent="0.25">
      <c r="A564" s="371"/>
      <c r="C564" s="370" t="s">
        <v>140</v>
      </c>
      <c r="G564" s="389">
        <f>SUM(G546:G563)</f>
        <v>5810000</v>
      </c>
      <c r="H564" s="373"/>
      <c r="I564" s="369"/>
      <c r="J564" s="369"/>
    </row>
    <row r="565" spans="1:10" s="370" customFormat="1" x14ac:dyDescent="0.25">
      <c r="A565" s="371"/>
      <c r="G565" s="367"/>
      <c r="H565" s="368"/>
      <c r="I565" s="369"/>
      <c r="J565" s="369"/>
    </row>
    <row r="566" spans="1:10" s="370" customFormat="1" ht="24" x14ac:dyDescent="0.25">
      <c r="A566" s="395">
        <v>12.7</v>
      </c>
      <c r="B566" s="408" t="s">
        <v>1059</v>
      </c>
      <c r="C566" s="370" t="s">
        <v>39</v>
      </c>
      <c r="D566" s="370">
        <v>150000</v>
      </c>
      <c r="E566" s="370">
        <v>1</v>
      </c>
      <c r="F566" s="370">
        <v>1</v>
      </c>
      <c r="G566" s="372">
        <f>F566*E566*D566</f>
        <v>150000</v>
      </c>
      <c r="H566" s="368"/>
      <c r="I566" s="369"/>
      <c r="J566" s="369"/>
    </row>
    <row r="567" spans="1:10" s="370" customFormat="1" x14ac:dyDescent="0.25">
      <c r="A567" s="371"/>
      <c r="B567" s="370" t="s">
        <v>991</v>
      </c>
      <c r="C567" s="370" t="s">
        <v>1010</v>
      </c>
      <c r="D567" s="370">
        <v>270000</v>
      </c>
      <c r="E567" s="370">
        <v>1</v>
      </c>
      <c r="F567" s="370">
        <v>2</v>
      </c>
      <c r="G567" s="372">
        <f t="shared" ref="G567:G582" si="21">F567*E567*D567</f>
        <v>540000</v>
      </c>
      <c r="H567" s="368"/>
      <c r="I567" s="369"/>
      <c r="J567" s="369"/>
    </row>
    <row r="568" spans="1:10" s="370" customFormat="1" x14ac:dyDescent="0.25">
      <c r="A568" s="371"/>
      <c r="B568" s="370" t="s">
        <v>1060</v>
      </c>
      <c r="C568" s="370" t="s">
        <v>1012</v>
      </c>
      <c r="D568" s="370">
        <v>100000</v>
      </c>
      <c r="E568" s="370">
        <v>1</v>
      </c>
      <c r="F568" s="370">
        <v>1</v>
      </c>
      <c r="G568" s="372">
        <f t="shared" si="21"/>
        <v>100000</v>
      </c>
      <c r="H568" s="368"/>
      <c r="I568" s="369"/>
      <c r="J568" s="369"/>
    </row>
    <row r="569" spans="1:10" s="370" customFormat="1" x14ac:dyDescent="0.25">
      <c r="A569" s="371"/>
      <c r="B569" s="370" t="s">
        <v>1054</v>
      </c>
      <c r="C569" s="370" t="s">
        <v>1061</v>
      </c>
      <c r="D569" s="370">
        <v>250000</v>
      </c>
      <c r="E569" s="370">
        <v>3</v>
      </c>
      <c r="F569" s="370">
        <v>2</v>
      </c>
      <c r="G569" s="367">
        <f t="shared" si="21"/>
        <v>1500000</v>
      </c>
      <c r="H569" s="368"/>
      <c r="I569" s="369"/>
      <c r="J569" s="369"/>
    </row>
    <row r="570" spans="1:10" s="370" customFormat="1" x14ac:dyDescent="0.25">
      <c r="A570" s="371"/>
      <c r="C570" s="370" t="s">
        <v>1062</v>
      </c>
      <c r="D570" s="370">
        <v>100000</v>
      </c>
      <c r="E570" s="370">
        <v>3</v>
      </c>
      <c r="F570" s="370">
        <v>1</v>
      </c>
      <c r="G570" s="372">
        <f t="shared" si="21"/>
        <v>300000</v>
      </c>
      <c r="H570" s="368"/>
      <c r="I570" s="369"/>
      <c r="J570" s="369"/>
    </row>
    <row r="571" spans="1:10" s="370" customFormat="1" x14ac:dyDescent="0.25">
      <c r="A571" s="371"/>
      <c r="C571" s="370" t="s">
        <v>1027</v>
      </c>
      <c r="D571" s="370">
        <v>250000</v>
      </c>
      <c r="E571" s="370">
        <v>1</v>
      </c>
      <c r="F571" s="370">
        <v>2</v>
      </c>
      <c r="G571" s="372">
        <f t="shared" si="21"/>
        <v>500000</v>
      </c>
      <c r="H571" s="368"/>
      <c r="I571" s="369"/>
      <c r="J571" s="369"/>
    </row>
    <row r="572" spans="1:10" s="370" customFormat="1" x14ac:dyDescent="0.25">
      <c r="A572" s="371"/>
      <c r="C572" s="370" t="s">
        <v>1028</v>
      </c>
      <c r="D572" s="370">
        <v>100000</v>
      </c>
      <c r="E572" s="370">
        <v>1</v>
      </c>
      <c r="F572" s="370">
        <v>1</v>
      </c>
      <c r="G572" s="372">
        <f t="shared" si="21"/>
        <v>100000</v>
      </c>
      <c r="H572" s="368"/>
      <c r="I572" s="369"/>
      <c r="J572" s="369"/>
    </row>
    <row r="573" spans="1:10" s="370" customFormat="1" x14ac:dyDescent="0.25">
      <c r="A573" s="371"/>
      <c r="G573" s="372"/>
      <c r="H573" s="368"/>
      <c r="I573" s="369"/>
      <c r="J573" s="369"/>
    </row>
    <row r="574" spans="1:10" s="370" customFormat="1" x14ac:dyDescent="0.25">
      <c r="A574" s="371"/>
      <c r="C574" s="370" t="s">
        <v>1017</v>
      </c>
      <c r="E574" s="370">
        <v>3</v>
      </c>
      <c r="F574" s="370">
        <v>1</v>
      </c>
      <c r="G574" s="372">
        <f t="shared" si="21"/>
        <v>0</v>
      </c>
      <c r="H574" s="368"/>
      <c r="I574" s="369"/>
      <c r="J574" s="369"/>
    </row>
    <row r="575" spans="1:10" s="370" customFormat="1" ht="24" x14ac:dyDescent="0.25">
      <c r="A575" s="371"/>
      <c r="C575" s="390" t="s">
        <v>1056</v>
      </c>
      <c r="E575" s="370">
        <v>7</v>
      </c>
      <c r="F575" s="370">
        <v>1</v>
      </c>
      <c r="G575" s="372">
        <f t="shared" si="21"/>
        <v>0</v>
      </c>
      <c r="H575" s="368"/>
      <c r="I575" s="369"/>
      <c r="J575" s="369"/>
    </row>
    <row r="576" spans="1:10" s="370" customFormat="1" x14ac:dyDescent="0.25">
      <c r="A576" s="371"/>
      <c r="C576" s="370" t="s">
        <v>1057</v>
      </c>
      <c r="E576" s="370">
        <v>36</v>
      </c>
      <c r="F576" s="370">
        <v>1</v>
      </c>
      <c r="G576" s="372">
        <f t="shared" si="21"/>
        <v>0</v>
      </c>
      <c r="H576" s="368"/>
      <c r="I576" s="369"/>
      <c r="J576" s="369"/>
    </row>
    <row r="577" spans="1:10" s="370" customFormat="1" x14ac:dyDescent="0.25">
      <c r="A577" s="371"/>
      <c r="C577" s="370" t="s">
        <v>1058</v>
      </c>
      <c r="D577" s="370">
        <v>80000</v>
      </c>
      <c r="E577" s="370">
        <v>1</v>
      </c>
      <c r="F577" s="370">
        <v>1</v>
      </c>
      <c r="G577" s="372">
        <f>F577*E577*D577</f>
        <v>80000</v>
      </c>
      <c r="H577" s="368"/>
      <c r="I577" s="369"/>
      <c r="J577" s="369"/>
    </row>
    <row r="578" spans="1:10" s="370" customFormat="1" ht="24" x14ac:dyDescent="0.25">
      <c r="A578" s="371"/>
      <c r="C578" s="390" t="s">
        <v>1063</v>
      </c>
      <c r="D578" s="370">
        <v>8000</v>
      </c>
      <c r="E578" s="370">
        <f>86/6</f>
        <v>14.333333333333334</v>
      </c>
      <c r="F578" s="370">
        <v>2</v>
      </c>
      <c r="G578" s="372">
        <f>F578*E578*D578</f>
        <v>229333.33333333334</v>
      </c>
      <c r="H578" s="368"/>
      <c r="I578" s="369"/>
      <c r="J578" s="369"/>
    </row>
    <row r="579" spans="1:10" s="370" customFormat="1" x14ac:dyDescent="0.25">
      <c r="A579" s="371"/>
      <c r="G579" s="372">
        <f>SUM(G574:G578)</f>
        <v>309333.33333333337</v>
      </c>
      <c r="H579" s="368"/>
      <c r="I579" s="369"/>
      <c r="J579" s="369"/>
    </row>
    <row r="580" spans="1:10" s="370" customFormat="1" x14ac:dyDescent="0.25">
      <c r="A580" s="371"/>
      <c r="C580" s="370" t="s">
        <v>231</v>
      </c>
      <c r="D580" s="370">
        <v>1000000</v>
      </c>
      <c r="E580" s="370">
        <v>1</v>
      </c>
      <c r="F580" s="370">
        <v>1</v>
      </c>
      <c r="G580" s="367">
        <f t="shared" si="21"/>
        <v>1000000</v>
      </c>
      <c r="H580" s="368"/>
      <c r="I580" s="369"/>
      <c r="J580" s="369"/>
    </row>
    <row r="581" spans="1:10" s="370" customFormat="1" x14ac:dyDescent="0.25">
      <c r="A581" s="371"/>
      <c r="C581" s="370" t="s">
        <v>97</v>
      </c>
      <c r="D581" s="370">
        <v>20000</v>
      </c>
      <c r="E581" s="370">
        <v>50</v>
      </c>
      <c r="F581" s="370">
        <v>1</v>
      </c>
      <c r="G581" s="367">
        <f t="shared" si="21"/>
        <v>1000000</v>
      </c>
      <c r="H581" s="368"/>
      <c r="I581" s="369"/>
      <c r="J581" s="369"/>
    </row>
    <row r="582" spans="1:10" s="370" customFormat="1" x14ac:dyDescent="0.25">
      <c r="A582" s="371"/>
      <c r="C582" s="370" t="s">
        <v>756</v>
      </c>
      <c r="D582" s="370">
        <v>400000</v>
      </c>
      <c r="E582" s="370">
        <v>1</v>
      </c>
      <c r="F582" s="370">
        <v>2</v>
      </c>
      <c r="G582" s="367">
        <f t="shared" si="21"/>
        <v>800000</v>
      </c>
      <c r="H582" s="368"/>
      <c r="I582" s="369"/>
      <c r="J582" s="369"/>
    </row>
    <row r="583" spans="1:10" s="370" customFormat="1" x14ac:dyDescent="0.25">
      <c r="A583" s="371"/>
      <c r="C583" s="370" t="s">
        <v>60</v>
      </c>
      <c r="D583" s="370">
        <v>20000</v>
      </c>
      <c r="E583" s="370">
        <v>50</v>
      </c>
      <c r="F583" s="370">
        <v>2</v>
      </c>
      <c r="G583" s="372">
        <f>F583*E583*D583</f>
        <v>2000000</v>
      </c>
      <c r="H583" s="368"/>
      <c r="I583" s="369"/>
      <c r="J583" s="369"/>
    </row>
    <row r="584" spans="1:10" s="370" customFormat="1" x14ac:dyDescent="0.25">
      <c r="A584" s="371"/>
      <c r="C584" s="370" t="s">
        <v>139</v>
      </c>
      <c r="D584" s="370">
        <v>5000</v>
      </c>
      <c r="E584" s="370">
        <v>50</v>
      </c>
      <c r="F584" s="370">
        <v>1</v>
      </c>
      <c r="G584" s="367">
        <f>F584*E584*D584</f>
        <v>250000</v>
      </c>
      <c r="H584" s="368"/>
      <c r="I584" s="369"/>
      <c r="J584" s="369"/>
    </row>
    <row r="585" spans="1:10" s="370" customFormat="1" x14ac:dyDescent="0.25">
      <c r="A585" s="371"/>
      <c r="C585" s="370" t="s">
        <v>140</v>
      </c>
      <c r="G585" s="389">
        <f>SUM(G566:G584)</f>
        <v>8858666.6666666679</v>
      </c>
      <c r="H585" s="373"/>
      <c r="I585" s="369"/>
      <c r="J585" s="369"/>
    </row>
    <row r="586" spans="1:10" s="370" customFormat="1" x14ac:dyDescent="0.25">
      <c r="A586" s="371"/>
      <c r="G586" s="372"/>
      <c r="H586" s="368"/>
      <c r="I586" s="369"/>
      <c r="J586" s="369"/>
    </row>
    <row r="587" spans="1:10" s="370" customFormat="1" ht="24" x14ac:dyDescent="0.25">
      <c r="A587" s="395">
        <v>12.8</v>
      </c>
      <c r="B587" s="408" t="s">
        <v>1064</v>
      </c>
      <c r="C587" s="370" t="s">
        <v>39</v>
      </c>
      <c r="D587" s="370">
        <v>150000</v>
      </c>
      <c r="E587" s="370">
        <v>1</v>
      </c>
      <c r="F587" s="370">
        <v>2</v>
      </c>
      <c r="G587" s="372">
        <f>F587*E587*D587</f>
        <v>300000</v>
      </c>
      <c r="H587" s="368"/>
      <c r="I587" s="369"/>
      <c r="J587" s="369"/>
    </row>
    <row r="588" spans="1:10" s="370" customFormat="1" x14ac:dyDescent="0.25">
      <c r="A588" s="371"/>
      <c r="B588" s="370" t="s">
        <v>991</v>
      </c>
      <c r="C588" s="370" t="s">
        <v>1010</v>
      </c>
      <c r="D588" s="370">
        <v>270000</v>
      </c>
      <c r="E588" s="370">
        <v>1</v>
      </c>
      <c r="F588" s="370">
        <v>4</v>
      </c>
      <c r="G588" s="372">
        <f>F588*E588*D588</f>
        <v>1080000</v>
      </c>
      <c r="H588" s="368"/>
      <c r="I588" s="369"/>
      <c r="J588" s="369"/>
    </row>
    <row r="589" spans="1:10" s="370" customFormat="1" ht="24" x14ac:dyDescent="0.25">
      <c r="A589" s="371"/>
      <c r="B589" s="390" t="s">
        <v>1065</v>
      </c>
      <c r="C589" s="370" t="s">
        <v>1012</v>
      </c>
      <c r="D589" s="370">
        <v>100000</v>
      </c>
      <c r="E589" s="370">
        <v>1</v>
      </c>
      <c r="F589" s="370">
        <v>1</v>
      </c>
      <c r="G589" s="372">
        <f>F589*E589*D589</f>
        <v>100000</v>
      </c>
      <c r="H589" s="368"/>
      <c r="I589" s="369"/>
      <c r="J589" s="369"/>
    </row>
    <row r="590" spans="1:10" s="370" customFormat="1" x14ac:dyDescent="0.25">
      <c r="A590" s="371"/>
      <c r="B590" s="370" t="s">
        <v>995</v>
      </c>
      <c r="C590" s="370" t="s">
        <v>1066</v>
      </c>
      <c r="D590" s="370">
        <v>250000</v>
      </c>
      <c r="E590" s="370">
        <v>3</v>
      </c>
      <c r="F590" s="370">
        <v>4</v>
      </c>
      <c r="G590" s="372">
        <f>F590*E590*D590</f>
        <v>3000000</v>
      </c>
      <c r="H590" s="368"/>
      <c r="I590" s="369"/>
      <c r="J590" s="369"/>
    </row>
    <row r="591" spans="1:10" s="370" customFormat="1" x14ac:dyDescent="0.25">
      <c r="A591" s="371"/>
      <c r="C591" s="370" t="s">
        <v>1067</v>
      </c>
      <c r="D591" s="370">
        <v>100000</v>
      </c>
      <c r="E591" s="370">
        <v>3</v>
      </c>
      <c r="F591" s="370">
        <v>1</v>
      </c>
      <c r="G591" s="372">
        <f>F591*E591*D591</f>
        <v>300000</v>
      </c>
      <c r="H591" s="368"/>
      <c r="I591" s="369"/>
      <c r="J591" s="369"/>
    </row>
    <row r="592" spans="1:10" s="370" customFormat="1" x14ac:dyDescent="0.25">
      <c r="A592" s="371"/>
      <c r="C592" s="370" t="s">
        <v>1027</v>
      </c>
      <c r="D592" s="370">
        <v>250000</v>
      </c>
      <c r="E592" s="370">
        <v>1</v>
      </c>
      <c r="F592" s="370">
        <v>4</v>
      </c>
      <c r="G592" s="372">
        <f t="shared" ref="G592:G605" si="22">F592*E592*D592</f>
        <v>1000000</v>
      </c>
      <c r="H592" s="368"/>
      <c r="I592" s="369"/>
      <c r="J592" s="369"/>
    </row>
    <row r="593" spans="1:10" s="370" customFormat="1" x14ac:dyDescent="0.25">
      <c r="A593" s="371"/>
      <c r="C593" s="370" t="s">
        <v>1028</v>
      </c>
      <c r="D593" s="370">
        <v>100000</v>
      </c>
      <c r="E593" s="370">
        <v>1</v>
      </c>
      <c r="F593" s="370">
        <v>1</v>
      </c>
      <c r="G593" s="372">
        <f t="shared" si="22"/>
        <v>100000</v>
      </c>
      <c r="H593" s="368"/>
      <c r="I593" s="369"/>
      <c r="J593" s="369"/>
    </row>
    <row r="594" spans="1:10" s="370" customFormat="1" x14ac:dyDescent="0.25">
      <c r="A594" s="371"/>
      <c r="C594" s="370" t="s">
        <v>1017</v>
      </c>
      <c r="E594" s="370">
        <v>3</v>
      </c>
      <c r="F594" s="370">
        <v>2</v>
      </c>
      <c r="G594" s="372">
        <f t="shared" si="22"/>
        <v>0</v>
      </c>
      <c r="H594" s="368"/>
      <c r="I594" s="369"/>
      <c r="J594" s="369"/>
    </row>
    <row r="595" spans="1:10" s="370" customFormat="1" ht="24" x14ac:dyDescent="0.25">
      <c r="A595" s="371"/>
      <c r="C595" s="390" t="s">
        <v>1029</v>
      </c>
      <c r="E595" s="370">
        <v>7</v>
      </c>
      <c r="F595" s="370">
        <v>2</v>
      </c>
      <c r="G595" s="372">
        <f t="shared" si="22"/>
        <v>0</v>
      </c>
      <c r="H595" s="368"/>
      <c r="I595" s="369"/>
      <c r="J595" s="369"/>
    </row>
    <row r="596" spans="1:10" s="370" customFormat="1" x14ac:dyDescent="0.25">
      <c r="A596" s="371"/>
      <c r="C596" s="370" t="s">
        <v>1019</v>
      </c>
      <c r="E596" s="370">
        <v>36</v>
      </c>
      <c r="F596" s="370">
        <v>2</v>
      </c>
      <c r="G596" s="372">
        <f t="shared" si="22"/>
        <v>0</v>
      </c>
      <c r="H596" s="368"/>
      <c r="I596" s="369"/>
      <c r="J596" s="369"/>
    </row>
    <row r="597" spans="1:10" s="370" customFormat="1" x14ac:dyDescent="0.25">
      <c r="A597" s="371"/>
      <c r="G597" s="372"/>
      <c r="H597" s="368"/>
      <c r="I597" s="369"/>
      <c r="J597" s="369"/>
    </row>
    <row r="598" spans="1:10" s="370" customFormat="1" x14ac:dyDescent="0.25">
      <c r="A598" s="371"/>
      <c r="C598" s="370" t="s">
        <v>1068</v>
      </c>
      <c r="D598" s="370">
        <v>80000</v>
      </c>
      <c r="E598" s="370">
        <v>1</v>
      </c>
      <c r="F598" s="370">
        <v>2</v>
      </c>
      <c r="G598" s="367">
        <f t="shared" si="22"/>
        <v>160000</v>
      </c>
      <c r="H598" s="368"/>
      <c r="I598" s="369"/>
      <c r="J598" s="369"/>
    </row>
    <row r="599" spans="1:10" s="370" customFormat="1" x14ac:dyDescent="0.25">
      <c r="A599" s="371"/>
      <c r="C599" s="370" t="s">
        <v>1069</v>
      </c>
      <c r="D599" s="370">
        <v>8000</v>
      </c>
      <c r="E599" s="370">
        <v>42.5</v>
      </c>
      <c r="F599" s="370">
        <v>1</v>
      </c>
      <c r="G599" s="367">
        <f t="shared" si="22"/>
        <v>340000</v>
      </c>
      <c r="H599" s="368"/>
      <c r="I599" s="369"/>
      <c r="J599" s="369"/>
    </row>
    <row r="600" spans="1:10" s="370" customFormat="1" x14ac:dyDescent="0.25">
      <c r="A600" s="371"/>
      <c r="C600" s="370" t="s">
        <v>1070</v>
      </c>
      <c r="D600" s="370">
        <v>8000</v>
      </c>
      <c r="E600" s="370">
        <f>405/8</f>
        <v>50.625</v>
      </c>
      <c r="F600" s="370">
        <v>1</v>
      </c>
      <c r="G600" s="367">
        <f t="shared" si="22"/>
        <v>405000</v>
      </c>
      <c r="H600" s="368"/>
      <c r="I600" s="369"/>
      <c r="J600" s="369"/>
    </row>
    <row r="601" spans="1:10" s="370" customFormat="1" x14ac:dyDescent="0.25">
      <c r="A601" s="371"/>
      <c r="C601" s="370" t="s">
        <v>1071</v>
      </c>
      <c r="D601" s="370">
        <v>8000</v>
      </c>
      <c r="E601" s="370">
        <v>18.75</v>
      </c>
      <c r="F601" s="370">
        <v>1</v>
      </c>
      <c r="G601" s="367">
        <f>F601*E601*D601</f>
        <v>150000</v>
      </c>
      <c r="H601" s="368"/>
      <c r="I601" s="369"/>
      <c r="J601" s="369"/>
    </row>
    <row r="602" spans="1:10" s="370" customFormat="1" x14ac:dyDescent="0.25">
      <c r="A602" s="371"/>
      <c r="G602" s="367"/>
      <c r="H602" s="368"/>
      <c r="I602" s="369"/>
      <c r="J602" s="369"/>
    </row>
    <row r="603" spans="1:10" s="370" customFormat="1" x14ac:dyDescent="0.25">
      <c r="A603" s="371"/>
      <c r="C603" s="370" t="s">
        <v>231</v>
      </c>
      <c r="D603" s="370">
        <v>1000000</v>
      </c>
      <c r="E603" s="370">
        <v>1</v>
      </c>
      <c r="F603" s="370">
        <v>2</v>
      </c>
      <c r="G603" s="367">
        <f>F603*E603*D603</f>
        <v>2000000</v>
      </c>
      <c r="H603" s="368"/>
      <c r="I603" s="369"/>
      <c r="J603" s="369"/>
    </row>
    <row r="604" spans="1:10" s="370" customFormat="1" x14ac:dyDescent="0.25">
      <c r="A604" s="371"/>
      <c r="C604" s="370" t="s">
        <v>97</v>
      </c>
      <c r="D604" s="370">
        <v>20000</v>
      </c>
      <c r="E604" s="370">
        <v>50</v>
      </c>
      <c r="F604" s="370">
        <v>2</v>
      </c>
      <c r="G604" s="367">
        <f t="shared" si="22"/>
        <v>2000000</v>
      </c>
      <c r="H604" s="368"/>
      <c r="I604" s="369"/>
      <c r="J604" s="369"/>
    </row>
    <row r="605" spans="1:10" s="370" customFormat="1" x14ac:dyDescent="0.25">
      <c r="A605" s="371"/>
      <c r="C605" s="370" t="s">
        <v>756</v>
      </c>
      <c r="D605" s="370">
        <v>400000</v>
      </c>
      <c r="E605" s="370">
        <v>1</v>
      </c>
      <c r="F605" s="370">
        <v>2</v>
      </c>
      <c r="G605" s="367">
        <f t="shared" si="22"/>
        <v>800000</v>
      </c>
      <c r="H605" s="368"/>
      <c r="I605" s="369"/>
      <c r="J605" s="369"/>
    </row>
    <row r="606" spans="1:10" s="370" customFormat="1" x14ac:dyDescent="0.25">
      <c r="A606" s="371"/>
      <c r="C606" s="370" t="s">
        <v>139</v>
      </c>
      <c r="D606" s="370">
        <v>5000</v>
      </c>
      <c r="E606" s="370">
        <v>50</v>
      </c>
      <c r="F606" s="370">
        <v>2</v>
      </c>
      <c r="G606" s="367">
        <f>F606*E606*D606</f>
        <v>500000</v>
      </c>
      <c r="H606" s="368"/>
      <c r="I606" s="369"/>
      <c r="J606" s="369"/>
    </row>
    <row r="607" spans="1:10" s="370" customFormat="1" x14ac:dyDescent="0.25">
      <c r="A607" s="371"/>
      <c r="C607" s="370" t="s">
        <v>60</v>
      </c>
      <c r="D607" s="370">
        <v>20000</v>
      </c>
      <c r="E607" s="370">
        <v>50</v>
      </c>
      <c r="F607" s="370">
        <v>2</v>
      </c>
      <c r="G607" s="372">
        <f>F607*E607*D607</f>
        <v>2000000</v>
      </c>
      <c r="H607" s="368"/>
      <c r="I607" s="369"/>
      <c r="J607" s="369"/>
    </row>
    <row r="608" spans="1:10" s="370" customFormat="1" x14ac:dyDescent="0.25">
      <c r="A608" s="371"/>
      <c r="C608" s="370" t="s">
        <v>136</v>
      </c>
      <c r="D608" s="370">
        <v>7</v>
      </c>
      <c r="E608" s="370">
        <v>40000</v>
      </c>
      <c r="F608" s="370">
        <v>2</v>
      </c>
      <c r="G608" s="367">
        <f>F608*E608*D608</f>
        <v>560000</v>
      </c>
      <c r="H608" s="368"/>
      <c r="I608" s="369"/>
      <c r="J608" s="369"/>
    </row>
    <row r="609" spans="1:10" s="370" customFormat="1" x14ac:dyDescent="0.25">
      <c r="A609" s="371"/>
      <c r="C609" s="370" t="s">
        <v>140</v>
      </c>
      <c r="G609" s="389">
        <f>SUM(G587:G608)</f>
        <v>14795000</v>
      </c>
      <c r="H609" s="373"/>
      <c r="I609" s="369"/>
      <c r="J609" s="369"/>
    </row>
    <row r="610" spans="1:10" s="370" customFormat="1" x14ac:dyDescent="0.25">
      <c r="A610" s="371"/>
      <c r="G610" s="367"/>
      <c r="H610" s="368"/>
      <c r="I610" s="369"/>
      <c r="J610" s="369"/>
    </row>
    <row r="611" spans="1:10" s="370" customFormat="1" ht="24" x14ac:dyDescent="0.25">
      <c r="A611" s="395">
        <v>12.9</v>
      </c>
      <c r="B611" s="408" t="s">
        <v>1072</v>
      </c>
      <c r="C611" s="370" t="s">
        <v>39</v>
      </c>
      <c r="D611" s="370">
        <v>150000</v>
      </c>
      <c r="E611" s="370">
        <v>1</v>
      </c>
      <c r="F611" s="370">
        <v>2</v>
      </c>
      <c r="G611" s="372">
        <f>F611*E611*D611</f>
        <v>300000</v>
      </c>
      <c r="H611" s="368"/>
      <c r="I611" s="369"/>
      <c r="J611" s="369"/>
    </row>
    <row r="612" spans="1:10" s="370" customFormat="1" x14ac:dyDescent="0.25">
      <c r="A612" s="371"/>
      <c r="B612" s="370" t="s">
        <v>991</v>
      </c>
      <c r="C612" s="370" t="s">
        <v>1010</v>
      </c>
      <c r="D612" s="370">
        <v>270000</v>
      </c>
      <c r="E612" s="370">
        <v>1</v>
      </c>
      <c r="F612" s="370">
        <v>4</v>
      </c>
      <c r="G612" s="372">
        <f>F612*E612*D612</f>
        <v>1080000</v>
      </c>
      <c r="H612" s="368"/>
      <c r="I612" s="369"/>
      <c r="J612" s="369"/>
    </row>
    <row r="613" spans="1:10" s="370" customFormat="1" ht="24" x14ac:dyDescent="0.25">
      <c r="A613" s="371"/>
      <c r="B613" s="390" t="s">
        <v>1073</v>
      </c>
      <c r="C613" s="370" t="s">
        <v>1012</v>
      </c>
      <c r="D613" s="370">
        <v>100000</v>
      </c>
      <c r="E613" s="370">
        <v>1</v>
      </c>
      <c r="F613" s="370">
        <v>1</v>
      </c>
      <c r="G613" s="372">
        <f t="shared" ref="G613:G630" si="23">F613*E613*D613</f>
        <v>100000</v>
      </c>
      <c r="H613" s="368"/>
      <c r="I613" s="369"/>
      <c r="J613" s="369"/>
    </row>
    <row r="614" spans="1:10" s="370" customFormat="1" x14ac:dyDescent="0.25">
      <c r="A614" s="371"/>
      <c r="B614" s="370" t="s">
        <v>995</v>
      </c>
      <c r="C614" s="370" t="s">
        <v>1066</v>
      </c>
      <c r="D614" s="370">
        <v>250000</v>
      </c>
      <c r="E614" s="370">
        <v>3</v>
      </c>
      <c r="F614" s="370">
        <v>4</v>
      </c>
      <c r="G614" s="372">
        <f t="shared" si="23"/>
        <v>3000000</v>
      </c>
      <c r="H614" s="368"/>
      <c r="I614" s="369"/>
      <c r="J614" s="369"/>
    </row>
    <row r="615" spans="1:10" s="370" customFormat="1" x14ac:dyDescent="0.25">
      <c r="A615" s="371"/>
      <c r="C615" s="370" t="s">
        <v>1067</v>
      </c>
      <c r="D615" s="370">
        <v>100000</v>
      </c>
      <c r="E615" s="370">
        <v>3</v>
      </c>
      <c r="F615" s="370">
        <v>1</v>
      </c>
      <c r="G615" s="372">
        <f t="shared" si="23"/>
        <v>300000</v>
      </c>
      <c r="H615" s="368"/>
      <c r="I615" s="369"/>
      <c r="J615" s="369"/>
    </row>
    <row r="616" spans="1:10" s="370" customFormat="1" x14ac:dyDescent="0.25">
      <c r="A616" s="371"/>
      <c r="C616" s="370" t="s">
        <v>1027</v>
      </c>
      <c r="D616" s="370">
        <v>250000</v>
      </c>
      <c r="E616" s="370">
        <v>1</v>
      </c>
      <c r="F616" s="370">
        <v>4</v>
      </c>
      <c r="G616" s="372">
        <f t="shared" si="23"/>
        <v>1000000</v>
      </c>
      <c r="H616" s="368"/>
      <c r="I616" s="369"/>
      <c r="J616" s="369"/>
    </row>
    <row r="617" spans="1:10" s="370" customFormat="1" x14ac:dyDescent="0.25">
      <c r="A617" s="371"/>
      <c r="C617" s="370" t="s">
        <v>1028</v>
      </c>
      <c r="D617" s="370">
        <v>100000</v>
      </c>
      <c r="E617" s="370">
        <v>1</v>
      </c>
      <c r="F617" s="370">
        <v>1</v>
      </c>
      <c r="G617" s="372">
        <f t="shared" si="23"/>
        <v>100000</v>
      </c>
      <c r="H617" s="368"/>
      <c r="I617" s="369"/>
      <c r="J617" s="369"/>
    </row>
    <row r="618" spans="1:10" s="370" customFormat="1" x14ac:dyDescent="0.25">
      <c r="A618" s="371"/>
      <c r="C618" s="370" t="s">
        <v>1017</v>
      </c>
      <c r="E618" s="370">
        <v>3</v>
      </c>
      <c r="F618" s="370">
        <v>2</v>
      </c>
      <c r="G618" s="372">
        <f t="shared" si="23"/>
        <v>0</v>
      </c>
      <c r="H618" s="368"/>
      <c r="I618" s="369"/>
      <c r="J618" s="369"/>
    </row>
    <row r="619" spans="1:10" s="370" customFormat="1" ht="24" x14ac:dyDescent="0.25">
      <c r="A619" s="371"/>
      <c r="C619" s="390" t="s">
        <v>1029</v>
      </c>
      <c r="E619" s="370">
        <v>7</v>
      </c>
      <c r="F619" s="370">
        <v>2</v>
      </c>
      <c r="G619" s="372">
        <f t="shared" si="23"/>
        <v>0</v>
      </c>
      <c r="H619" s="368"/>
      <c r="I619" s="369"/>
      <c r="J619" s="369"/>
    </row>
    <row r="620" spans="1:10" s="370" customFormat="1" x14ac:dyDescent="0.25">
      <c r="A620" s="371"/>
      <c r="C620" s="370" t="s">
        <v>1019</v>
      </c>
      <c r="E620" s="370">
        <v>36</v>
      </c>
      <c r="F620" s="370">
        <v>2</v>
      </c>
      <c r="G620" s="372">
        <f t="shared" si="23"/>
        <v>0</v>
      </c>
      <c r="H620" s="368"/>
      <c r="I620" s="369"/>
      <c r="J620" s="369"/>
    </row>
    <row r="621" spans="1:10" s="370" customFormat="1" x14ac:dyDescent="0.25">
      <c r="A621" s="371"/>
      <c r="C621" s="370" t="s">
        <v>1074</v>
      </c>
      <c r="D621" s="370">
        <v>80000</v>
      </c>
      <c r="E621" s="370">
        <v>1</v>
      </c>
      <c r="F621" s="370">
        <v>2</v>
      </c>
      <c r="G621" s="372">
        <f t="shared" si="23"/>
        <v>160000</v>
      </c>
      <c r="H621" s="368"/>
      <c r="I621" s="369"/>
      <c r="J621" s="369"/>
    </row>
    <row r="622" spans="1:10" s="370" customFormat="1" x14ac:dyDescent="0.25">
      <c r="A622" s="371"/>
      <c r="C622" s="370" t="s">
        <v>1075</v>
      </c>
      <c r="D622" s="370">
        <v>8000</v>
      </c>
      <c r="E622" s="370">
        <v>58.833333333333336</v>
      </c>
      <c r="F622" s="370">
        <v>1</v>
      </c>
      <c r="G622" s="372">
        <f t="shared" si="23"/>
        <v>470666.66666666669</v>
      </c>
      <c r="H622" s="368"/>
      <c r="I622" s="369"/>
      <c r="J622" s="369"/>
    </row>
    <row r="623" spans="1:10" s="370" customFormat="1" x14ac:dyDescent="0.25">
      <c r="A623" s="371"/>
      <c r="C623" s="370" t="s">
        <v>1076</v>
      </c>
      <c r="D623" s="370">
        <v>8000</v>
      </c>
      <c r="E623" s="370">
        <v>19.333333333333332</v>
      </c>
      <c r="F623" s="370">
        <v>1</v>
      </c>
      <c r="G623" s="372">
        <f t="shared" si="23"/>
        <v>154666.66666666666</v>
      </c>
      <c r="H623" s="368"/>
      <c r="I623" s="369"/>
      <c r="J623" s="369"/>
    </row>
    <row r="624" spans="1:10" s="370" customFormat="1" x14ac:dyDescent="0.25">
      <c r="A624" s="371"/>
      <c r="C624" s="370" t="s">
        <v>1077</v>
      </c>
      <c r="D624" s="370">
        <v>8000</v>
      </c>
      <c r="E624" s="370">
        <v>58.625</v>
      </c>
      <c r="F624" s="370">
        <v>1</v>
      </c>
      <c r="G624" s="372">
        <f t="shared" si="23"/>
        <v>469000</v>
      </c>
      <c r="H624" s="368"/>
      <c r="I624" s="369"/>
      <c r="J624" s="369"/>
    </row>
    <row r="625" spans="1:10" s="370" customFormat="1" x14ac:dyDescent="0.25">
      <c r="A625" s="371"/>
      <c r="C625" s="370" t="s">
        <v>1078</v>
      </c>
      <c r="D625" s="370">
        <v>1000000</v>
      </c>
      <c r="E625" s="370">
        <v>1</v>
      </c>
      <c r="F625" s="370">
        <v>2</v>
      </c>
      <c r="G625" s="372">
        <f t="shared" si="23"/>
        <v>2000000</v>
      </c>
      <c r="H625" s="368"/>
      <c r="I625" s="369"/>
      <c r="J625" s="369"/>
    </row>
    <row r="626" spans="1:10" s="370" customFormat="1" x14ac:dyDescent="0.25">
      <c r="A626" s="371"/>
      <c r="C626" s="370" t="s">
        <v>97</v>
      </c>
      <c r="D626" s="370">
        <v>20000</v>
      </c>
      <c r="E626" s="370">
        <v>50</v>
      </c>
      <c r="F626" s="370">
        <v>2</v>
      </c>
      <c r="G626" s="372">
        <f t="shared" si="23"/>
        <v>2000000</v>
      </c>
      <c r="H626" s="368"/>
      <c r="I626" s="369"/>
      <c r="J626" s="369"/>
    </row>
    <row r="627" spans="1:10" s="370" customFormat="1" x14ac:dyDescent="0.25">
      <c r="A627" s="371"/>
      <c r="C627" s="370" t="s">
        <v>756</v>
      </c>
      <c r="D627" s="370">
        <v>400000</v>
      </c>
      <c r="E627" s="370">
        <v>1</v>
      </c>
      <c r="F627" s="370">
        <v>2</v>
      </c>
      <c r="G627" s="372">
        <f t="shared" si="23"/>
        <v>800000</v>
      </c>
      <c r="H627" s="368"/>
      <c r="I627" s="369"/>
      <c r="J627" s="369"/>
    </row>
    <row r="628" spans="1:10" s="370" customFormat="1" x14ac:dyDescent="0.25">
      <c r="A628" s="371"/>
      <c r="C628" s="370" t="s">
        <v>60</v>
      </c>
      <c r="D628" s="370">
        <v>20000</v>
      </c>
      <c r="E628" s="370">
        <v>50</v>
      </c>
      <c r="F628" s="370">
        <v>2</v>
      </c>
      <c r="G628" s="372">
        <f>F628*E628*D628</f>
        <v>2000000</v>
      </c>
      <c r="H628" s="368"/>
      <c r="I628" s="369"/>
      <c r="J628" s="369"/>
    </row>
    <row r="629" spans="1:10" s="370" customFormat="1" x14ac:dyDescent="0.25">
      <c r="A629" s="371"/>
      <c r="C629" s="370" t="s">
        <v>139</v>
      </c>
      <c r="D629" s="370">
        <v>5000</v>
      </c>
      <c r="E629" s="370">
        <v>50</v>
      </c>
      <c r="F629" s="370">
        <v>2</v>
      </c>
      <c r="G629" s="372">
        <f>F629*E629*D629</f>
        <v>500000</v>
      </c>
      <c r="H629" s="368"/>
      <c r="I629" s="369"/>
      <c r="J629" s="369"/>
    </row>
    <row r="630" spans="1:10" s="370" customFormat="1" x14ac:dyDescent="0.25">
      <c r="A630" s="371"/>
      <c r="C630" s="370" t="s">
        <v>136</v>
      </c>
      <c r="D630" s="370">
        <v>7</v>
      </c>
      <c r="E630" s="370">
        <v>40000</v>
      </c>
      <c r="F630" s="370">
        <v>2</v>
      </c>
      <c r="G630" s="372">
        <f t="shared" si="23"/>
        <v>560000</v>
      </c>
      <c r="H630" s="368"/>
      <c r="I630" s="369"/>
      <c r="J630" s="369"/>
    </row>
    <row r="631" spans="1:10" s="370" customFormat="1" x14ac:dyDescent="0.25">
      <c r="A631" s="371"/>
      <c r="C631" s="370" t="s">
        <v>140</v>
      </c>
      <c r="G631" s="389">
        <f>SUM(G611:G630)</f>
        <v>14994333.333333334</v>
      </c>
      <c r="H631" s="373"/>
      <c r="I631" s="369"/>
      <c r="J631" s="369"/>
    </row>
    <row r="632" spans="1:10" s="370" customFormat="1" x14ac:dyDescent="0.25">
      <c r="A632" s="371"/>
      <c r="G632" s="367"/>
      <c r="H632" s="368"/>
      <c r="I632" s="369"/>
      <c r="J632" s="369"/>
    </row>
    <row r="633" spans="1:10" s="370" customFormat="1" ht="24" x14ac:dyDescent="0.25">
      <c r="A633" s="395">
        <v>13</v>
      </c>
      <c r="B633" s="408" t="s">
        <v>1079</v>
      </c>
      <c r="C633" s="370" t="s">
        <v>39</v>
      </c>
      <c r="D633" s="370">
        <v>150000</v>
      </c>
      <c r="E633" s="370">
        <v>1</v>
      </c>
      <c r="F633" s="370">
        <v>2</v>
      </c>
      <c r="G633" s="372">
        <f>F633*E633*D633</f>
        <v>300000</v>
      </c>
      <c r="H633" s="368"/>
      <c r="I633" s="369"/>
      <c r="J633" s="369"/>
    </row>
    <row r="634" spans="1:10" s="370" customFormat="1" x14ac:dyDescent="0.25">
      <c r="A634" s="371"/>
      <c r="B634" s="370" t="s">
        <v>991</v>
      </c>
      <c r="C634" s="370" t="s">
        <v>1010</v>
      </c>
      <c r="D634" s="370">
        <v>270000</v>
      </c>
      <c r="E634" s="370">
        <v>1</v>
      </c>
      <c r="F634" s="370">
        <v>4</v>
      </c>
      <c r="G634" s="372">
        <f t="shared" ref="G634:G652" si="24">F634*E634*D634</f>
        <v>1080000</v>
      </c>
      <c r="H634" s="368"/>
      <c r="I634" s="369"/>
      <c r="J634" s="369"/>
    </row>
    <row r="635" spans="1:10" s="370" customFormat="1" ht="24" x14ac:dyDescent="0.25">
      <c r="A635" s="371"/>
      <c r="B635" s="390" t="s">
        <v>1080</v>
      </c>
      <c r="C635" s="370" t="s">
        <v>1012</v>
      </c>
      <c r="D635" s="370">
        <v>100000</v>
      </c>
      <c r="E635" s="370">
        <v>1</v>
      </c>
      <c r="F635" s="370">
        <v>1</v>
      </c>
      <c r="G635" s="372">
        <f t="shared" si="24"/>
        <v>100000</v>
      </c>
      <c r="H635" s="368"/>
      <c r="I635" s="369"/>
      <c r="J635" s="369"/>
    </row>
    <row r="636" spans="1:10" s="370" customFormat="1" x14ac:dyDescent="0.25">
      <c r="A636" s="371"/>
      <c r="B636" s="370" t="s">
        <v>995</v>
      </c>
      <c r="C636" s="370" t="s">
        <v>1066</v>
      </c>
      <c r="D636" s="370">
        <v>250000</v>
      </c>
      <c r="E636" s="370">
        <v>3</v>
      </c>
      <c r="F636" s="370">
        <v>4</v>
      </c>
      <c r="G636" s="372">
        <f t="shared" si="24"/>
        <v>3000000</v>
      </c>
      <c r="H636" s="368"/>
      <c r="I636" s="369"/>
      <c r="J636" s="369"/>
    </row>
    <row r="637" spans="1:10" s="370" customFormat="1" x14ac:dyDescent="0.25">
      <c r="A637" s="371"/>
      <c r="C637" s="370" t="s">
        <v>1067</v>
      </c>
      <c r="D637" s="370">
        <v>100000</v>
      </c>
      <c r="E637" s="370">
        <v>3</v>
      </c>
      <c r="F637" s="370">
        <v>1</v>
      </c>
      <c r="G637" s="372">
        <f t="shared" si="24"/>
        <v>300000</v>
      </c>
      <c r="H637" s="368"/>
      <c r="I637" s="369"/>
      <c r="J637" s="369"/>
    </row>
    <row r="638" spans="1:10" s="370" customFormat="1" x14ac:dyDescent="0.25">
      <c r="A638" s="371"/>
      <c r="C638" s="370" t="s">
        <v>1027</v>
      </c>
      <c r="D638" s="370">
        <v>250000</v>
      </c>
      <c r="E638" s="370">
        <v>1</v>
      </c>
      <c r="F638" s="370">
        <v>4</v>
      </c>
      <c r="G638" s="372">
        <f t="shared" si="24"/>
        <v>1000000</v>
      </c>
      <c r="H638" s="368"/>
      <c r="I638" s="369"/>
      <c r="J638" s="369"/>
    </row>
    <row r="639" spans="1:10" s="370" customFormat="1" x14ac:dyDescent="0.25">
      <c r="A639" s="371"/>
      <c r="C639" s="370" t="s">
        <v>1028</v>
      </c>
      <c r="D639" s="370">
        <v>100000</v>
      </c>
      <c r="E639" s="370">
        <v>1</v>
      </c>
      <c r="F639" s="370">
        <v>1</v>
      </c>
      <c r="G639" s="372">
        <f t="shared" si="24"/>
        <v>100000</v>
      </c>
      <c r="H639" s="368"/>
      <c r="I639" s="369"/>
      <c r="J639" s="369"/>
    </row>
    <row r="640" spans="1:10" s="370" customFormat="1" x14ac:dyDescent="0.25">
      <c r="A640" s="371"/>
      <c r="C640" s="370" t="s">
        <v>1017</v>
      </c>
      <c r="E640" s="370">
        <v>3</v>
      </c>
      <c r="F640" s="370">
        <v>2</v>
      </c>
      <c r="G640" s="372">
        <f t="shared" si="24"/>
        <v>0</v>
      </c>
      <c r="H640" s="368"/>
      <c r="I640" s="369"/>
      <c r="J640" s="369"/>
    </row>
    <row r="641" spans="1:10" s="370" customFormat="1" ht="24" x14ac:dyDescent="0.25">
      <c r="A641" s="371"/>
      <c r="C641" s="390" t="s">
        <v>1029</v>
      </c>
      <c r="E641" s="370">
        <v>7</v>
      </c>
      <c r="F641" s="370">
        <v>2</v>
      </c>
      <c r="G641" s="372">
        <f t="shared" si="24"/>
        <v>0</v>
      </c>
      <c r="H641" s="368"/>
      <c r="I641" s="369"/>
      <c r="J641" s="369"/>
    </row>
    <row r="642" spans="1:10" s="370" customFormat="1" x14ac:dyDescent="0.25">
      <c r="A642" s="371"/>
      <c r="C642" s="370" t="s">
        <v>1019</v>
      </c>
      <c r="E642" s="370">
        <v>36</v>
      </c>
      <c r="F642" s="370">
        <v>2</v>
      </c>
      <c r="G642" s="372">
        <f t="shared" si="24"/>
        <v>0</v>
      </c>
      <c r="H642" s="368"/>
      <c r="I642" s="369"/>
      <c r="J642" s="369"/>
    </row>
    <row r="643" spans="1:10" s="370" customFormat="1" x14ac:dyDescent="0.25">
      <c r="A643" s="371"/>
      <c r="C643" s="370" t="s">
        <v>1081</v>
      </c>
      <c r="D643" s="370">
        <v>8000</v>
      </c>
      <c r="E643" s="370">
        <v>84.375</v>
      </c>
      <c r="F643" s="370">
        <v>1</v>
      </c>
      <c r="G643" s="372">
        <f t="shared" si="24"/>
        <v>675000</v>
      </c>
      <c r="H643" s="368"/>
      <c r="I643" s="369"/>
      <c r="J643" s="369"/>
    </row>
    <row r="644" spans="1:10" s="370" customFormat="1" x14ac:dyDescent="0.25">
      <c r="A644" s="371"/>
      <c r="C644" s="370" t="s">
        <v>1074</v>
      </c>
      <c r="D644" s="370">
        <v>80000</v>
      </c>
      <c r="E644" s="370">
        <v>1</v>
      </c>
      <c r="F644" s="370">
        <v>2</v>
      </c>
      <c r="G644" s="372">
        <f t="shared" si="24"/>
        <v>160000</v>
      </c>
      <c r="H644" s="368"/>
      <c r="I644" s="369"/>
      <c r="J644" s="369"/>
    </row>
    <row r="645" spans="1:10" s="370" customFormat="1" x14ac:dyDescent="0.25">
      <c r="A645" s="371"/>
      <c r="C645" s="370" t="s">
        <v>1082</v>
      </c>
      <c r="D645" s="370">
        <v>8000</v>
      </c>
      <c r="E645" s="370">
        <v>18</v>
      </c>
      <c r="F645" s="370">
        <v>1</v>
      </c>
      <c r="G645" s="372">
        <f t="shared" si="24"/>
        <v>144000</v>
      </c>
      <c r="H645" s="368"/>
      <c r="I645" s="369"/>
      <c r="J645" s="369"/>
    </row>
    <row r="646" spans="1:10" s="370" customFormat="1" x14ac:dyDescent="0.25">
      <c r="A646" s="371"/>
      <c r="C646" s="370" t="s">
        <v>1083</v>
      </c>
      <c r="D646" s="370">
        <v>8000</v>
      </c>
      <c r="E646" s="370">
        <v>85.375</v>
      </c>
      <c r="F646" s="370">
        <v>1</v>
      </c>
      <c r="G646" s="372">
        <f>F646*E646*D646</f>
        <v>683000</v>
      </c>
      <c r="H646" s="368"/>
      <c r="I646" s="369"/>
      <c r="J646" s="369"/>
    </row>
    <row r="647" spans="1:10" s="370" customFormat="1" x14ac:dyDescent="0.25">
      <c r="A647" s="371"/>
      <c r="G647" s="372">
        <f t="shared" si="24"/>
        <v>0</v>
      </c>
      <c r="H647" s="368"/>
      <c r="I647" s="369"/>
      <c r="J647" s="369"/>
    </row>
    <row r="648" spans="1:10" s="370" customFormat="1" x14ac:dyDescent="0.25">
      <c r="A648" s="371"/>
      <c r="C648" s="370" t="s">
        <v>1078</v>
      </c>
      <c r="D648" s="370">
        <v>1000000</v>
      </c>
      <c r="E648" s="370">
        <v>1</v>
      </c>
      <c r="F648" s="370">
        <v>2</v>
      </c>
      <c r="G648" s="372">
        <f>F648*E648*D648</f>
        <v>2000000</v>
      </c>
      <c r="H648" s="368"/>
      <c r="I648" s="369"/>
      <c r="J648" s="369"/>
    </row>
    <row r="649" spans="1:10" s="370" customFormat="1" x14ac:dyDescent="0.25">
      <c r="A649" s="371"/>
      <c r="C649" s="370" t="s">
        <v>97</v>
      </c>
      <c r="D649" s="370">
        <v>20000</v>
      </c>
      <c r="E649" s="370">
        <v>50</v>
      </c>
      <c r="F649" s="370">
        <v>2</v>
      </c>
      <c r="G649" s="372">
        <f>F649*E649*D649</f>
        <v>2000000</v>
      </c>
      <c r="H649" s="368"/>
      <c r="I649" s="369"/>
      <c r="J649" s="369"/>
    </row>
    <row r="650" spans="1:10" s="370" customFormat="1" x14ac:dyDescent="0.25">
      <c r="A650" s="371"/>
      <c r="C650" s="370" t="s">
        <v>756</v>
      </c>
      <c r="D650" s="370">
        <v>400000</v>
      </c>
      <c r="E650" s="370">
        <v>1</v>
      </c>
      <c r="F650" s="370">
        <v>2</v>
      </c>
      <c r="G650" s="372">
        <f t="shared" si="24"/>
        <v>800000</v>
      </c>
      <c r="H650" s="368"/>
      <c r="I650" s="369"/>
      <c r="J650" s="369"/>
    </row>
    <row r="651" spans="1:10" s="370" customFormat="1" x14ac:dyDescent="0.25">
      <c r="A651" s="371"/>
      <c r="C651" s="370" t="s">
        <v>139</v>
      </c>
      <c r="D651" s="370">
        <v>5000</v>
      </c>
      <c r="E651" s="370">
        <v>50</v>
      </c>
      <c r="F651" s="370">
        <v>2</v>
      </c>
      <c r="G651" s="372">
        <f t="shared" si="24"/>
        <v>500000</v>
      </c>
      <c r="H651" s="368"/>
      <c r="I651" s="369"/>
      <c r="J651" s="369"/>
    </row>
    <row r="652" spans="1:10" s="370" customFormat="1" x14ac:dyDescent="0.25">
      <c r="A652" s="371"/>
      <c r="C652" s="370" t="s">
        <v>136</v>
      </c>
      <c r="D652" s="370">
        <v>7</v>
      </c>
      <c r="E652" s="370">
        <v>40000</v>
      </c>
      <c r="F652" s="370">
        <v>2</v>
      </c>
      <c r="G652" s="372">
        <f t="shared" si="24"/>
        <v>560000</v>
      </c>
      <c r="H652" s="368"/>
      <c r="I652" s="369"/>
      <c r="J652" s="369"/>
    </row>
    <row r="653" spans="1:10" s="370" customFormat="1" x14ac:dyDescent="0.25">
      <c r="A653" s="371"/>
      <c r="C653" s="370" t="s">
        <v>60</v>
      </c>
      <c r="D653" s="370">
        <v>20000</v>
      </c>
      <c r="E653" s="370">
        <v>50</v>
      </c>
      <c r="F653" s="370">
        <v>2</v>
      </c>
      <c r="G653" s="372">
        <f>F653*E653*D653</f>
        <v>2000000</v>
      </c>
      <c r="H653" s="368"/>
      <c r="I653" s="369"/>
      <c r="J653" s="369"/>
    </row>
    <row r="654" spans="1:10" s="370" customFormat="1" x14ac:dyDescent="0.25">
      <c r="A654" s="371"/>
      <c r="C654" s="370" t="s">
        <v>140</v>
      </c>
      <c r="G654" s="389">
        <f>SUM(G633:G653)</f>
        <v>15402000</v>
      </c>
      <c r="H654" s="373"/>
      <c r="I654" s="369"/>
      <c r="J654" s="369"/>
    </row>
    <row r="655" spans="1:10" s="366" customFormat="1" x14ac:dyDescent="0.25">
      <c r="A655" s="386"/>
      <c r="G655" s="367"/>
      <c r="H655" s="373"/>
      <c r="I655" s="376"/>
      <c r="J655" s="376"/>
    </row>
    <row r="656" spans="1:10" s="413" customFormat="1" ht="16.5" thickBot="1" x14ac:dyDescent="0.3">
      <c r="A656" s="410" t="s">
        <v>65</v>
      </c>
      <c r="B656" s="411" t="s">
        <v>9</v>
      </c>
      <c r="C656" s="411"/>
      <c r="D656" s="411"/>
      <c r="E656" s="411"/>
      <c r="F656" s="411"/>
      <c r="G656" s="412"/>
    </row>
    <row r="657" spans="1:19" s="59" customFormat="1" ht="15.75" x14ac:dyDescent="0.25">
      <c r="A657" s="312">
        <v>1</v>
      </c>
      <c r="B657" s="771" t="s">
        <v>1084</v>
      </c>
      <c r="C657" s="414" t="s">
        <v>1085</v>
      </c>
      <c r="D657" s="415"/>
      <c r="E657" s="415"/>
      <c r="F657" s="415"/>
      <c r="G657" s="416"/>
      <c r="H657" s="57"/>
      <c r="I657" s="57"/>
      <c r="J657" s="57"/>
      <c r="K657" s="57"/>
      <c r="L657" s="58"/>
      <c r="M657" s="58"/>
      <c r="N657" s="58"/>
      <c r="O657" s="58"/>
      <c r="P657" s="58"/>
      <c r="Q657" s="58"/>
      <c r="R657" s="58"/>
      <c r="S657" s="58"/>
    </row>
    <row r="658" spans="1:19" s="59" customFormat="1" ht="15" x14ac:dyDescent="0.25">
      <c r="A658" s="66"/>
      <c r="B658" s="772"/>
      <c r="C658" s="208" t="s">
        <v>1086</v>
      </c>
      <c r="D658" s="63">
        <v>250000</v>
      </c>
      <c r="E658" s="63">
        <v>4</v>
      </c>
      <c r="F658" s="63">
        <v>6</v>
      </c>
      <c r="G658" s="64">
        <f>D658*E658*F658</f>
        <v>6000000</v>
      </c>
      <c r="H658" s="57"/>
      <c r="I658" s="57"/>
      <c r="J658" s="57"/>
      <c r="K658" s="57"/>
      <c r="L658" s="58"/>
      <c r="M658" s="58"/>
      <c r="N658" s="58"/>
      <c r="O658" s="58"/>
      <c r="P658" s="58"/>
      <c r="Q658" s="58"/>
      <c r="R658" s="58"/>
      <c r="S658" s="58"/>
    </row>
    <row r="659" spans="1:19" s="59" customFormat="1" ht="15" x14ac:dyDescent="0.25">
      <c r="A659" s="66"/>
      <c r="B659" s="63"/>
      <c r="C659" s="208" t="s">
        <v>1087</v>
      </c>
      <c r="D659" s="63">
        <v>250000</v>
      </c>
      <c r="E659" s="63">
        <v>1</v>
      </c>
      <c r="F659" s="63">
        <v>6</v>
      </c>
      <c r="G659" s="64">
        <f t="shared" ref="G659:G670" si="25">D659*E659*F659</f>
        <v>1500000</v>
      </c>
      <c r="H659" s="57"/>
      <c r="I659" s="57"/>
      <c r="J659" s="57"/>
      <c r="K659" s="57"/>
      <c r="L659" s="58"/>
      <c r="M659" s="58"/>
      <c r="N659" s="58"/>
      <c r="O659" s="58"/>
      <c r="P659" s="58"/>
      <c r="Q659" s="58"/>
      <c r="R659" s="58"/>
      <c r="S659" s="58"/>
    </row>
    <row r="660" spans="1:19" s="59" customFormat="1" ht="15" x14ac:dyDescent="0.25">
      <c r="A660" s="66"/>
      <c r="B660" s="773" t="s">
        <v>1088</v>
      </c>
      <c r="C660" s="63" t="s">
        <v>1089</v>
      </c>
      <c r="D660" s="63">
        <v>100000</v>
      </c>
      <c r="E660" s="63">
        <v>5</v>
      </c>
      <c r="F660" s="63">
        <v>1</v>
      </c>
      <c r="G660" s="64">
        <f t="shared" si="25"/>
        <v>500000</v>
      </c>
      <c r="H660" s="57"/>
      <c r="I660" s="57"/>
      <c r="J660" s="57"/>
      <c r="K660" s="57"/>
      <c r="L660" s="58"/>
      <c r="M660" s="58"/>
      <c r="N660" s="58"/>
      <c r="O660" s="58"/>
      <c r="P660" s="58"/>
      <c r="Q660" s="58"/>
      <c r="R660" s="58"/>
      <c r="S660" s="58"/>
    </row>
    <row r="661" spans="1:19" s="59" customFormat="1" ht="15" x14ac:dyDescent="0.25">
      <c r="A661" s="66"/>
      <c r="B661" s="773"/>
      <c r="C661" s="208" t="s">
        <v>1090</v>
      </c>
      <c r="D661" s="63">
        <v>250000</v>
      </c>
      <c r="E661" s="63">
        <v>1</v>
      </c>
      <c r="F661" s="63">
        <v>1</v>
      </c>
      <c r="G661" s="64">
        <f t="shared" si="25"/>
        <v>250000</v>
      </c>
      <c r="H661" s="57"/>
      <c r="I661" s="57"/>
      <c r="J661" s="57"/>
      <c r="K661" s="57"/>
      <c r="L661" s="58"/>
      <c r="M661" s="58"/>
      <c r="N661" s="58"/>
      <c r="O661" s="58"/>
      <c r="P661" s="58"/>
      <c r="Q661" s="58"/>
      <c r="R661" s="58"/>
      <c r="S661" s="58"/>
    </row>
    <row r="662" spans="1:19" s="59" customFormat="1" ht="15" x14ac:dyDescent="0.25">
      <c r="A662" s="60"/>
      <c r="B662" s="773"/>
      <c r="C662" s="208" t="s">
        <v>1091</v>
      </c>
      <c r="D662" s="63">
        <v>250000</v>
      </c>
      <c r="E662" s="63">
        <v>1</v>
      </c>
      <c r="F662" s="63">
        <v>1</v>
      </c>
      <c r="G662" s="64">
        <f t="shared" si="25"/>
        <v>250000</v>
      </c>
      <c r="H662" s="57"/>
      <c r="I662" s="57"/>
      <c r="J662" s="57"/>
      <c r="K662" s="57"/>
      <c r="L662" s="58"/>
      <c r="M662" s="58"/>
      <c r="N662" s="58"/>
      <c r="O662" s="58"/>
      <c r="P662" s="58"/>
      <c r="Q662" s="58"/>
      <c r="R662" s="58"/>
      <c r="S662" s="58"/>
    </row>
    <row r="663" spans="1:19" s="59" customFormat="1" ht="15" x14ac:dyDescent="0.25">
      <c r="A663" s="66"/>
      <c r="B663" s="773"/>
      <c r="C663" s="63" t="s">
        <v>1092</v>
      </c>
      <c r="D663" s="63">
        <v>100000</v>
      </c>
      <c r="E663" s="63">
        <v>2</v>
      </c>
      <c r="F663" s="63">
        <v>1</v>
      </c>
      <c r="G663" s="64">
        <f t="shared" si="25"/>
        <v>200000</v>
      </c>
      <c r="H663" s="57"/>
      <c r="I663" s="57"/>
      <c r="J663" s="57"/>
      <c r="K663" s="57"/>
      <c r="L663" s="58"/>
      <c r="M663" s="58"/>
      <c r="N663" s="58"/>
      <c r="O663" s="58"/>
      <c r="P663" s="58"/>
      <c r="Q663" s="58"/>
      <c r="R663" s="58"/>
      <c r="S663" s="58"/>
    </row>
    <row r="664" spans="1:19" s="59" customFormat="1" ht="15" x14ac:dyDescent="0.25">
      <c r="A664" s="66"/>
      <c r="B664" s="773"/>
      <c r="C664" s="63" t="s">
        <v>1093</v>
      </c>
      <c r="D664" s="63">
        <v>512000</v>
      </c>
      <c r="E664" s="63">
        <v>1</v>
      </c>
      <c r="F664" s="63">
        <v>1</v>
      </c>
      <c r="G664" s="64">
        <f t="shared" si="25"/>
        <v>512000</v>
      </c>
      <c r="H664" s="57"/>
      <c r="I664" s="57"/>
      <c r="J664" s="57"/>
      <c r="K664" s="57"/>
      <c r="L664" s="58"/>
      <c r="M664" s="58"/>
      <c r="N664" s="58"/>
      <c r="O664" s="58"/>
      <c r="P664" s="58"/>
      <c r="Q664" s="58"/>
      <c r="R664" s="58"/>
      <c r="S664" s="58"/>
    </row>
    <row r="665" spans="1:19" s="59" customFormat="1" ht="15" x14ac:dyDescent="0.25">
      <c r="A665" s="66"/>
      <c r="B665" s="773"/>
      <c r="C665" s="63" t="s">
        <v>1094</v>
      </c>
      <c r="D665" s="63">
        <v>320000</v>
      </c>
      <c r="E665" s="63">
        <v>1</v>
      </c>
      <c r="F665" s="63">
        <v>1</v>
      </c>
      <c r="G665" s="64">
        <f t="shared" si="25"/>
        <v>320000</v>
      </c>
      <c r="H665" s="57"/>
      <c r="I665" s="57"/>
      <c r="J665" s="57"/>
      <c r="K665" s="57"/>
      <c r="L665" s="58"/>
      <c r="M665" s="58"/>
      <c r="N665" s="58"/>
      <c r="O665" s="58"/>
      <c r="P665" s="58"/>
      <c r="Q665" s="58"/>
      <c r="R665" s="58"/>
      <c r="S665" s="58"/>
    </row>
    <row r="666" spans="1:19" s="59" customFormat="1" ht="15" x14ac:dyDescent="0.25">
      <c r="A666" s="66"/>
      <c r="B666" s="773"/>
      <c r="C666" s="417" t="s">
        <v>1095</v>
      </c>
      <c r="D666" s="63">
        <v>160000</v>
      </c>
      <c r="E666" s="63">
        <v>1</v>
      </c>
      <c r="F666" s="63">
        <v>1</v>
      </c>
      <c r="G666" s="64">
        <f t="shared" si="25"/>
        <v>160000</v>
      </c>
      <c r="H666" s="57"/>
      <c r="I666" s="57"/>
      <c r="J666" s="57"/>
      <c r="K666" s="57"/>
      <c r="L666" s="58"/>
      <c r="M666" s="58"/>
      <c r="N666" s="58"/>
      <c r="O666" s="58"/>
      <c r="P666" s="58"/>
      <c r="Q666" s="58"/>
      <c r="R666" s="58"/>
      <c r="S666" s="58"/>
    </row>
    <row r="667" spans="1:19" s="59" customFormat="1" ht="15" x14ac:dyDescent="0.25">
      <c r="A667" s="66"/>
      <c r="B667" s="773"/>
      <c r="C667" s="63" t="s">
        <v>1096</v>
      </c>
      <c r="D667" s="63">
        <v>160000</v>
      </c>
      <c r="E667" s="63">
        <v>1</v>
      </c>
      <c r="F667" s="63">
        <v>1</v>
      </c>
      <c r="G667" s="64">
        <f t="shared" si="25"/>
        <v>160000</v>
      </c>
      <c r="H667" s="57"/>
      <c r="I667" s="57"/>
      <c r="J667" s="57"/>
      <c r="K667" s="57"/>
      <c r="L667" s="58"/>
      <c r="M667" s="58"/>
      <c r="N667" s="58"/>
      <c r="O667" s="58"/>
      <c r="P667" s="58"/>
      <c r="Q667" s="58"/>
      <c r="R667" s="58"/>
      <c r="S667" s="58"/>
    </row>
    <row r="668" spans="1:19" s="59" customFormat="1" ht="15" x14ac:dyDescent="0.25">
      <c r="A668" s="66"/>
      <c r="B668" s="773"/>
      <c r="C668" s="63" t="s">
        <v>1097</v>
      </c>
      <c r="D668" s="63">
        <v>144000</v>
      </c>
      <c r="E668" s="63">
        <v>1</v>
      </c>
      <c r="F668" s="63">
        <v>1</v>
      </c>
      <c r="G668" s="64">
        <f t="shared" si="25"/>
        <v>144000</v>
      </c>
      <c r="H668" s="57"/>
      <c r="I668" s="57"/>
      <c r="J668" s="57"/>
      <c r="K668" s="57"/>
      <c r="L668" s="58"/>
      <c r="M668" s="58"/>
      <c r="N668" s="58"/>
      <c r="O668" s="58"/>
      <c r="P668" s="58"/>
      <c r="Q668" s="58"/>
      <c r="R668" s="58"/>
      <c r="S668" s="58"/>
    </row>
    <row r="669" spans="1:19" s="59" customFormat="1" ht="15" x14ac:dyDescent="0.25">
      <c r="A669" s="66"/>
      <c r="B669" s="773"/>
      <c r="C669" s="417" t="s">
        <v>1095</v>
      </c>
      <c r="D669" s="63">
        <v>160000</v>
      </c>
      <c r="E669" s="63">
        <v>1</v>
      </c>
      <c r="F669" s="63">
        <v>1</v>
      </c>
      <c r="G669" s="64">
        <f t="shared" si="25"/>
        <v>160000</v>
      </c>
      <c r="H669" s="57"/>
      <c r="I669" s="57"/>
      <c r="J669" s="57"/>
      <c r="K669" s="57"/>
      <c r="L669" s="58"/>
      <c r="M669" s="58"/>
      <c r="N669" s="58"/>
      <c r="O669" s="58"/>
      <c r="P669" s="58"/>
      <c r="Q669" s="58"/>
      <c r="R669" s="58"/>
      <c r="S669" s="58"/>
    </row>
    <row r="670" spans="1:19" s="59" customFormat="1" ht="15.75" thickBot="1" x14ac:dyDescent="0.3">
      <c r="A670" s="66"/>
      <c r="B670" s="773"/>
      <c r="C670" s="417" t="s">
        <v>1098</v>
      </c>
      <c r="D670" s="63">
        <v>600000</v>
      </c>
      <c r="E670" s="63">
        <v>1</v>
      </c>
      <c r="F670" s="63">
        <v>1</v>
      </c>
      <c r="G670" s="64">
        <f t="shared" si="25"/>
        <v>600000</v>
      </c>
      <c r="H670" s="57"/>
      <c r="I670" s="57"/>
      <c r="J670" s="57"/>
      <c r="K670" s="57"/>
      <c r="L670" s="58"/>
      <c r="M670" s="58"/>
      <c r="N670" s="58"/>
      <c r="O670" s="58"/>
      <c r="P670" s="58"/>
      <c r="Q670" s="58"/>
      <c r="R670" s="58"/>
      <c r="S670" s="58"/>
    </row>
    <row r="671" spans="1:19" s="59" customFormat="1" ht="15.75" thickBot="1" x14ac:dyDescent="0.3">
      <c r="A671" s="66"/>
      <c r="B671" s="773"/>
      <c r="C671" s="418" t="s">
        <v>571</v>
      </c>
      <c r="D671" s="419"/>
      <c r="E671" s="419"/>
      <c r="F671" s="419"/>
      <c r="G671" s="420">
        <f>SUM(G658:G670)</f>
        <v>10756000</v>
      </c>
      <c r="H671" s="57"/>
      <c r="I671" s="57"/>
      <c r="J671" s="57"/>
      <c r="K671" s="57"/>
      <c r="L671" s="58"/>
      <c r="M671" s="58"/>
      <c r="N671" s="58"/>
      <c r="O671" s="58"/>
      <c r="P671" s="58"/>
      <c r="Q671" s="58"/>
      <c r="R671" s="58"/>
      <c r="S671" s="58"/>
    </row>
    <row r="672" spans="1:19" s="59" customFormat="1" ht="15.75" x14ac:dyDescent="0.25">
      <c r="A672" s="66"/>
      <c r="B672" s="773"/>
      <c r="C672" s="421" t="s">
        <v>1099</v>
      </c>
      <c r="D672" s="422"/>
      <c r="E672" s="422"/>
      <c r="F672" s="422"/>
      <c r="G672" s="423"/>
      <c r="H672" s="57"/>
      <c r="I672" s="57"/>
      <c r="J672" s="57"/>
      <c r="K672" s="57"/>
      <c r="L672" s="58"/>
      <c r="M672" s="58"/>
      <c r="N672" s="58"/>
      <c r="O672" s="58"/>
      <c r="P672" s="58"/>
      <c r="Q672" s="58"/>
      <c r="R672" s="58"/>
      <c r="S672" s="58"/>
    </row>
    <row r="673" spans="1:19" s="59" customFormat="1" ht="15" x14ac:dyDescent="0.25">
      <c r="A673" s="66"/>
      <c r="B673" s="773"/>
      <c r="C673" s="208" t="s">
        <v>1086</v>
      </c>
      <c r="D673" s="63">
        <v>250000</v>
      </c>
      <c r="E673" s="63">
        <v>4</v>
      </c>
      <c r="F673" s="63">
        <v>6</v>
      </c>
      <c r="G673" s="64">
        <f>D673*E673*F673</f>
        <v>6000000</v>
      </c>
      <c r="H673" s="57"/>
      <c r="I673" s="57"/>
      <c r="J673" s="57"/>
      <c r="K673" s="57"/>
      <c r="L673" s="58"/>
      <c r="M673" s="58"/>
      <c r="N673" s="58"/>
      <c r="O673" s="58"/>
      <c r="P673" s="58"/>
      <c r="Q673" s="58"/>
      <c r="R673" s="58"/>
      <c r="S673" s="58"/>
    </row>
    <row r="674" spans="1:19" customFormat="1" ht="15" x14ac:dyDescent="0.25">
      <c r="A674" s="424"/>
      <c r="B674" s="425"/>
      <c r="C674" s="208" t="s">
        <v>1087</v>
      </c>
      <c r="D674" s="63">
        <v>250000</v>
      </c>
      <c r="E674" s="63">
        <v>1</v>
      </c>
      <c r="F674" s="63">
        <v>6</v>
      </c>
      <c r="G674" s="64">
        <f t="shared" ref="G674:G682" si="26">D674*E674*F674</f>
        <v>1500000</v>
      </c>
    </row>
    <row r="675" spans="1:19" customFormat="1" ht="15" x14ac:dyDescent="0.25">
      <c r="A675" s="424"/>
      <c r="B675" s="425"/>
      <c r="C675" s="63" t="s">
        <v>1100</v>
      </c>
      <c r="D675" s="63">
        <v>100000</v>
      </c>
      <c r="E675" s="63">
        <v>5</v>
      </c>
      <c r="F675" s="63">
        <v>1</v>
      </c>
      <c r="G675" s="64">
        <f t="shared" si="26"/>
        <v>500000</v>
      </c>
    </row>
    <row r="676" spans="1:19" customFormat="1" ht="15" x14ac:dyDescent="0.25">
      <c r="A676" s="424"/>
      <c r="B676" s="425"/>
      <c r="C676" s="208" t="s">
        <v>1101</v>
      </c>
      <c r="D676" s="63">
        <v>250000</v>
      </c>
      <c r="E676" s="63">
        <v>1</v>
      </c>
      <c r="F676" s="63">
        <v>3</v>
      </c>
      <c r="G676" s="64">
        <f t="shared" si="26"/>
        <v>750000</v>
      </c>
    </row>
    <row r="677" spans="1:19" customFormat="1" ht="15" x14ac:dyDescent="0.25">
      <c r="A677" s="424"/>
      <c r="B677" s="425"/>
      <c r="C677" s="63" t="s">
        <v>1102</v>
      </c>
      <c r="D677" s="63">
        <v>100000</v>
      </c>
      <c r="E677" s="63">
        <v>1</v>
      </c>
      <c r="F677" s="63">
        <v>1</v>
      </c>
      <c r="G677" s="64">
        <f t="shared" si="26"/>
        <v>100000</v>
      </c>
    </row>
    <row r="678" spans="1:19" customFormat="1" ht="15" x14ac:dyDescent="0.25">
      <c r="A678" s="424"/>
      <c r="B678" s="425"/>
      <c r="C678" s="63" t="s">
        <v>1103</v>
      </c>
      <c r="D678" s="63">
        <v>1712000</v>
      </c>
      <c r="E678" s="63">
        <v>1</v>
      </c>
      <c r="F678" s="63">
        <v>1</v>
      </c>
      <c r="G678" s="64">
        <f t="shared" si="26"/>
        <v>1712000</v>
      </c>
    </row>
    <row r="679" spans="1:19" customFormat="1" ht="15" x14ac:dyDescent="0.25">
      <c r="A679" s="424"/>
      <c r="B679" s="425"/>
      <c r="C679" s="63" t="s">
        <v>1104</v>
      </c>
      <c r="D679" s="63">
        <v>160000</v>
      </c>
      <c r="E679" s="63">
        <v>1</v>
      </c>
      <c r="F679" s="63">
        <v>1</v>
      </c>
      <c r="G679" s="64">
        <f t="shared" si="26"/>
        <v>160000</v>
      </c>
    </row>
    <row r="680" spans="1:19" customFormat="1" ht="15" x14ac:dyDescent="0.25">
      <c r="A680" s="424"/>
      <c r="B680" s="425"/>
      <c r="C680" s="63" t="s">
        <v>1105</v>
      </c>
      <c r="D680" s="63">
        <v>352000</v>
      </c>
      <c r="E680" s="63">
        <v>1</v>
      </c>
      <c r="F680" s="63">
        <v>1</v>
      </c>
      <c r="G680" s="64">
        <f t="shared" si="26"/>
        <v>352000</v>
      </c>
    </row>
    <row r="681" spans="1:19" customFormat="1" ht="15" x14ac:dyDescent="0.25">
      <c r="A681" s="424"/>
      <c r="B681" s="425"/>
      <c r="C681" s="63" t="s">
        <v>1106</v>
      </c>
      <c r="D681" s="63">
        <v>160000</v>
      </c>
      <c r="E681" s="63">
        <v>1</v>
      </c>
      <c r="F681" s="63">
        <v>1</v>
      </c>
      <c r="G681" s="64">
        <f t="shared" si="26"/>
        <v>160000</v>
      </c>
      <c r="J681" s="426"/>
    </row>
    <row r="682" spans="1:19" customFormat="1" ht="15.75" thickBot="1" x14ac:dyDescent="0.3">
      <c r="A682" s="424"/>
      <c r="B682" s="425"/>
      <c r="C682" s="417" t="s">
        <v>1095</v>
      </c>
      <c r="D682" s="63">
        <v>160000</v>
      </c>
      <c r="E682" s="63">
        <v>1</v>
      </c>
      <c r="F682" s="63">
        <v>1</v>
      </c>
      <c r="G682" s="64">
        <f t="shared" si="26"/>
        <v>160000</v>
      </c>
    </row>
    <row r="683" spans="1:19" customFormat="1" ht="15.75" thickBot="1" x14ac:dyDescent="0.3">
      <c r="A683" s="424"/>
      <c r="B683" s="425"/>
      <c r="C683" s="418" t="s">
        <v>571</v>
      </c>
      <c r="D683" s="419"/>
      <c r="E683" s="419"/>
      <c r="F683" s="419"/>
      <c r="G683" s="420">
        <f>SUM(G673:G682)</f>
        <v>11394000</v>
      </c>
    </row>
    <row r="684" spans="1:19" customFormat="1" ht="15.75" x14ac:dyDescent="0.25">
      <c r="A684" s="424"/>
      <c r="B684" s="425"/>
      <c r="C684" s="421" t="s">
        <v>1107</v>
      </c>
      <c r="D684" s="422"/>
      <c r="E684" s="422"/>
      <c r="F684" s="422"/>
      <c r="G684" s="423"/>
    </row>
    <row r="685" spans="1:19" customFormat="1" ht="15" x14ac:dyDescent="0.25">
      <c r="A685" s="424"/>
      <c r="B685" s="425"/>
      <c r="C685" s="208" t="s">
        <v>1108</v>
      </c>
      <c r="D685" s="63">
        <v>270000</v>
      </c>
      <c r="E685" s="63">
        <v>1</v>
      </c>
      <c r="F685" s="63">
        <v>8</v>
      </c>
      <c r="G685" s="64">
        <f>D685*E685*F685</f>
        <v>2160000</v>
      </c>
    </row>
    <row r="686" spans="1:19" customFormat="1" ht="15" x14ac:dyDescent="0.25">
      <c r="A686" s="424"/>
      <c r="B686" s="425"/>
      <c r="C686" s="208" t="s">
        <v>1109</v>
      </c>
      <c r="D686" s="63">
        <v>250000</v>
      </c>
      <c r="E686" s="63">
        <v>3</v>
      </c>
      <c r="F686" s="63">
        <v>8</v>
      </c>
      <c r="G686" s="64">
        <f>D686*E686*F686</f>
        <v>6000000</v>
      </c>
    </row>
    <row r="687" spans="1:19" customFormat="1" ht="15" x14ac:dyDescent="0.25">
      <c r="A687" s="424"/>
      <c r="B687" s="425"/>
      <c r="C687" s="208" t="s">
        <v>1087</v>
      </c>
      <c r="D687" s="63">
        <v>250000</v>
      </c>
      <c r="E687" s="63">
        <v>1</v>
      </c>
      <c r="F687" s="63">
        <v>8</v>
      </c>
      <c r="G687" s="64">
        <f t="shared" ref="G687:G698" si="27">D687*E687*F687</f>
        <v>2000000</v>
      </c>
    </row>
    <row r="688" spans="1:19" customFormat="1" ht="15" x14ac:dyDescent="0.25">
      <c r="A688" s="424"/>
      <c r="B688" s="425"/>
      <c r="C688" s="63" t="s">
        <v>1089</v>
      </c>
      <c r="D688" s="63">
        <v>100000</v>
      </c>
      <c r="E688" s="63">
        <v>5</v>
      </c>
      <c r="F688" s="63">
        <v>1</v>
      </c>
      <c r="G688" s="64">
        <f t="shared" si="27"/>
        <v>500000</v>
      </c>
    </row>
    <row r="689" spans="1:10" customFormat="1" ht="15" x14ac:dyDescent="0.25">
      <c r="A689" s="424"/>
      <c r="B689" s="425"/>
      <c r="C689" s="208" t="s">
        <v>1110</v>
      </c>
      <c r="D689" s="63">
        <v>250000</v>
      </c>
      <c r="E689" s="63">
        <v>1</v>
      </c>
      <c r="F689" s="63">
        <v>1</v>
      </c>
      <c r="G689" s="64">
        <f t="shared" si="27"/>
        <v>250000</v>
      </c>
    </row>
    <row r="690" spans="1:10" customFormat="1" ht="15" x14ac:dyDescent="0.25">
      <c r="A690" s="424"/>
      <c r="B690" s="425"/>
      <c r="C690" s="208" t="s">
        <v>1111</v>
      </c>
      <c r="D690" s="63">
        <v>250000</v>
      </c>
      <c r="E690" s="63">
        <v>1</v>
      </c>
      <c r="F690" s="63">
        <v>1</v>
      </c>
      <c r="G690" s="64">
        <f t="shared" si="27"/>
        <v>250000</v>
      </c>
    </row>
    <row r="691" spans="1:10" customFormat="1" ht="15" x14ac:dyDescent="0.25">
      <c r="A691" s="424"/>
      <c r="B691" s="425"/>
      <c r="C691" s="63" t="s">
        <v>1112</v>
      </c>
      <c r="D691" s="63">
        <v>100000</v>
      </c>
      <c r="E691" s="63">
        <v>2</v>
      </c>
      <c r="F691" s="63">
        <v>1</v>
      </c>
      <c r="G691" s="64">
        <f t="shared" si="27"/>
        <v>200000</v>
      </c>
    </row>
    <row r="692" spans="1:10" customFormat="1" ht="15" x14ac:dyDescent="0.25">
      <c r="A692" s="424"/>
      <c r="B692" s="425"/>
      <c r="C692" s="63" t="s">
        <v>1113</v>
      </c>
      <c r="D692" s="63">
        <v>944000</v>
      </c>
      <c r="E692" s="63">
        <v>1</v>
      </c>
      <c r="F692" s="63">
        <v>1</v>
      </c>
      <c r="G692" s="64">
        <f t="shared" si="27"/>
        <v>944000</v>
      </c>
    </row>
    <row r="693" spans="1:10" customFormat="1" ht="15" x14ac:dyDescent="0.25">
      <c r="A693" s="424"/>
      <c r="B693" s="425"/>
      <c r="C693" s="63" t="s">
        <v>1114</v>
      </c>
      <c r="D693" s="63">
        <v>160000</v>
      </c>
      <c r="E693" s="63">
        <v>1</v>
      </c>
      <c r="F693" s="63">
        <v>1</v>
      </c>
      <c r="G693" s="64">
        <f t="shared" si="27"/>
        <v>160000</v>
      </c>
    </row>
    <row r="694" spans="1:10" customFormat="1" ht="15" x14ac:dyDescent="0.25">
      <c r="A694" s="424"/>
      <c r="B694" s="425"/>
      <c r="C694" s="417" t="s">
        <v>1095</v>
      </c>
      <c r="D694" s="63">
        <v>160000</v>
      </c>
      <c r="E694" s="63">
        <v>1</v>
      </c>
      <c r="F694" s="63">
        <v>1</v>
      </c>
      <c r="G694" s="64">
        <f t="shared" si="27"/>
        <v>160000</v>
      </c>
    </row>
    <row r="695" spans="1:10" customFormat="1" ht="15" x14ac:dyDescent="0.25">
      <c r="A695" s="424"/>
      <c r="B695" s="425"/>
      <c r="C695" s="63" t="s">
        <v>1115</v>
      </c>
      <c r="D695" s="63">
        <v>264000</v>
      </c>
      <c r="E695" s="63">
        <v>1</v>
      </c>
      <c r="F695" s="63">
        <v>1</v>
      </c>
      <c r="G695" s="64">
        <f t="shared" si="27"/>
        <v>264000</v>
      </c>
    </row>
    <row r="696" spans="1:10" customFormat="1" ht="15" x14ac:dyDescent="0.25">
      <c r="A696" s="424"/>
      <c r="B696" s="425"/>
      <c r="C696" s="63" t="s">
        <v>1116</v>
      </c>
      <c r="D696" s="63">
        <v>160000</v>
      </c>
      <c r="E696" s="63">
        <v>1</v>
      </c>
      <c r="F696" s="63">
        <v>1</v>
      </c>
      <c r="G696" s="64">
        <f t="shared" si="27"/>
        <v>160000</v>
      </c>
    </row>
    <row r="697" spans="1:10" customFormat="1" ht="15" x14ac:dyDescent="0.25">
      <c r="A697" s="424"/>
      <c r="B697" s="425"/>
      <c r="C697" s="417" t="s">
        <v>1095</v>
      </c>
      <c r="D697" s="63">
        <v>160000</v>
      </c>
      <c r="E697" s="63">
        <v>1</v>
      </c>
      <c r="F697" s="63">
        <v>1</v>
      </c>
      <c r="G697" s="64">
        <f t="shared" si="27"/>
        <v>160000</v>
      </c>
    </row>
    <row r="698" spans="1:10" customFormat="1" ht="15.75" thickBot="1" x14ac:dyDescent="0.3">
      <c r="A698" s="424"/>
      <c r="B698" s="425"/>
      <c r="C698" s="417" t="s">
        <v>1117</v>
      </c>
      <c r="D698" s="63">
        <v>1192000</v>
      </c>
      <c r="E698" s="63">
        <v>1</v>
      </c>
      <c r="F698" s="63">
        <v>1</v>
      </c>
      <c r="G698" s="64">
        <f t="shared" si="27"/>
        <v>1192000</v>
      </c>
    </row>
    <row r="699" spans="1:10" customFormat="1" ht="15.75" thickBot="1" x14ac:dyDescent="0.3">
      <c r="A699" s="424"/>
      <c r="B699" s="425"/>
      <c r="C699" s="418" t="s">
        <v>571</v>
      </c>
      <c r="D699" s="419"/>
      <c r="E699" s="419"/>
      <c r="F699" s="419"/>
      <c r="G699" s="420">
        <f>SUM(G685:G698)</f>
        <v>14400000</v>
      </c>
    </row>
    <row r="700" spans="1:10" customFormat="1" ht="15.75" thickBot="1" x14ac:dyDescent="0.3">
      <c r="A700" s="424"/>
      <c r="B700" s="425"/>
      <c r="C700" s="425"/>
      <c r="D700" s="425"/>
      <c r="E700" s="425"/>
      <c r="F700" s="425"/>
      <c r="G700" s="427"/>
    </row>
    <row r="701" spans="1:10" customFormat="1" ht="16.5" thickBot="1" x14ac:dyDescent="0.3">
      <c r="A701" s="428"/>
      <c r="B701" s="429"/>
      <c r="C701" s="430" t="s">
        <v>1118</v>
      </c>
      <c r="D701" s="431"/>
      <c r="E701" s="431"/>
      <c r="F701" s="432"/>
      <c r="G701" s="433">
        <f>G699+G683+G671</f>
        <v>36550000</v>
      </c>
      <c r="H701" s="434">
        <f>G701/8136</f>
        <v>4492.3795476892819</v>
      </c>
      <c r="J701" s="426"/>
    </row>
    <row r="702" spans="1:10" customFormat="1" ht="15" x14ac:dyDescent="0.25">
      <c r="A702" s="435">
        <v>2</v>
      </c>
      <c r="B702" s="766" t="s">
        <v>1119</v>
      </c>
      <c r="C702" s="53" t="s">
        <v>39</v>
      </c>
      <c r="D702" s="53">
        <v>150000</v>
      </c>
      <c r="E702" s="53">
        <v>1</v>
      </c>
      <c r="F702" s="53">
        <v>1</v>
      </c>
      <c r="G702" s="54">
        <f t="shared" ref="G702:G741" si="28">D702*E702*F702</f>
        <v>150000</v>
      </c>
    </row>
    <row r="703" spans="1:10" customFormat="1" ht="15" x14ac:dyDescent="0.25">
      <c r="A703" s="424"/>
      <c r="B703" s="767"/>
      <c r="C703" s="208" t="s">
        <v>1120</v>
      </c>
      <c r="D703" s="63">
        <v>270000</v>
      </c>
      <c r="E703" s="63">
        <v>1</v>
      </c>
      <c r="F703" s="63">
        <v>4</v>
      </c>
      <c r="G703" s="64">
        <f t="shared" si="28"/>
        <v>1080000</v>
      </c>
    </row>
    <row r="704" spans="1:10" customFormat="1" ht="15" x14ac:dyDescent="0.25">
      <c r="A704" s="424"/>
      <c r="B704" s="773" t="s">
        <v>1121</v>
      </c>
      <c r="C704" s="208" t="s">
        <v>1122</v>
      </c>
      <c r="D704" s="63">
        <v>250000</v>
      </c>
      <c r="E704" s="63">
        <v>17</v>
      </c>
      <c r="F704" s="63">
        <v>4</v>
      </c>
      <c r="G704" s="64">
        <f t="shared" si="28"/>
        <v>17000000</v>
      </c>
    </row>
    <row r="705" spans="1:9" customFormat="1" ht="15" x14ac:dyDescent="0.25">
      <c r="A705" s="424"/>
      <c r="B705" s="773"/>
      <c r="C705" s="63" t="s">
        <v>1123</v>
      </c>
      <c r="D705" s="63">
        <v>100000</v>
      </c>
      <c r="E705" s="63">
        <v>18</v>
      </c>
      <c r="F705" s="63">
        <v>1</v>
      </c>
      <c r="G705" s="64">
        <f t="shared" si="28"/>
        <v>1800000</v>
      </c>
    </row>
    <row r="706" spans="1:9" customFormat="1" ht="15" x14ac:dyDescent="0.25">
      <c r="A706" s="424"/>
      <c r="B706" s="773"/>
      <c r="C706" s="208" t="s">
        <v>1124</v>
      </c>
      <c r="D706" s="63">
        <v>250000</v>
      </c>
      <c r="E706" s="63">
        <v>21</v>
      </c>
      <c r="F706" s="63">
        <v>4</v>
      </c>
      <c r="G706" s="64">
        <f t="shared" si="28"/>
        <v>21000000</v>
      </c>
    </row>
    <row r="707" spans="1:9" customFormat="1" ht="15" x14ac:dyDescent="0.25">
      <c r="A707" s="424"/>
      <c r="B707" s="773"/>
      <c r="C707" s="63" t="s">
        <v>1125</v>
      </c>
      <c r="D707" s="63">
        <v>100000</v>
      </c>
      <c r="E707" s="63">
        <v>21</v>
      </c>
      <c r="F707" s="63">
        <v>1</v>
      </c>
      <c r="G707" s="64">
        <f t="shared" si="28"/>
        <v>2100000</v>
      </c>
    </row>
    <row r="708" spans="1:9" customFormat="1" ht="22.5" x14ac:dyDescent="0.25">
      <c r="A708" s="424"/>
      <c r="B708" s="773"/>
      <c r="C708" s="208" t="s">
        <v>1126</v>
      </c>
      <c r="D708" s="63">
        <v>250000</v>
      </c>
      <c r="E708" s="63">
        <f>78-E710</f>
        <v>61</v>
      </c>
      <c r="F708" s="63">
        <v>6</v>
      </c>
      <c r="G708" s="64">
        <f t="shared" si="28"/>
        <v>91500000</v>
      </c>
    </row>
    <row r="709" spans="1:9" customFormat="1" ht="22.5" x14ac:dyDescent="0.25">
      <c r="A709" s="424">
        <f>15+9+6+24+36</f>
        <v>90</v>
      </c>
      <c r="B709" s="773"/>
      <c r="C709" s="208" t="s">
        <v>1127</v>
      </c>
      <c r="D709" s="63">
        <v>100000</v>
      </c>
      <c r="E709" s="63">
        <f>78-E711</f>
        <v>61</v>
      </c>
      <c r="F709" s="63">
        <v>1</v>
      </c>
      <c r="G709" s="64">
        <f t="shared" si="28"/>
        <v>6100000</v>
      </c>
      <c r="I709" s="436"/>
    </row>
    <row r="710" spans="1:9" customFormat="1" ht="15" x14ac:dyDescent="0.25">
      <c r="A710" s="424"/>
      <c r="B710" s="773"/>
      <c r="C710" s="208" t="s">
        <v>1128</v>
      </c>
      <c r="D710" s="63">
        <v>250000</v>
      </c>
      <c r="E710" s="63">
        <v>17</v>
      </c>
      <c r="F710" s="63">
        <v>7</v>
      </c>
      <c r="G710" s="64">
        <f>D710*E710*F710</f>
        <v>29750000</v>
      </c>
    </row>
    <row r="711" spans="1:9" customFormat="1" ht="15" x14ac:dyDescent="0.25">
      <c r="A711" s="424"/>
      <c r="B711" s="773"/>
      <c r="C711" s="208" t="s">
        <v>1129</v>
      </c>
      <c r="D711" s="63">
        <v>100000</v>
      </c>
      <c r="E711" s="63">
        <v>17</v>
      </c>
      <c r="F711" s="63">
        <v>1</v>
      </c>
      <c r="G711" s="64">
        <f>D711*E711*F711</f>
        <v>1700000</v>
      </c>
      <c r="I711" s="436"/>
    </row>
    <row r="712" spans="1:9" customFormat="1" ht="15" x14ac:dyDescent="0.25">
      <c r="A712" s="424"/>
      <c r="B712" s="773"/>
      <c r="C712" s="208" t="s">
        <v>1130</v>
      </c>
      <c r="D712" s="63">
        <v>250000</v>
      </c>
      <c r="E712" s="63">
        <v>1</v>
      </c>
      <c r="F712" s="63">
        <v>2</v>
      </c>
      <c r="G712" s="64">
        <f>D712*E712*F712</f>
        <v>500000</v>
      </c>
    </row>
    <row r="713" spans="1:9" customFormat="1" ht="15" x14ac:dyDescent="0.25">
      <c r="A713" s="424"/>
      <c r="B713" s="773"/>
      <c r="C713" s="63" t="s">
        <v>1131</v>
      </c>
      <c r="D713" s="63">
        <v>100000</v>
      </c>
      <c r="E713" s="63">
        <v>1</v>
      </c>
      <c r="F713" s="63">
        <v>2</v>
      </c>
      <c r="G713" s="64">
        <f>D713*E713*F713</f>
        <v>200000</v>
      </c>
    </row>
    <row r="714" spans="1:9" customFormat="1" ht="15" x14ac:dyDescent="0.25">
      <c r="A714" s="424"/>
      <c r="B714" s="773"/>
      <c r="C714" s="63" t="s">
        <v>1132</v>
      </c>
      <c r="D714" s="63">
        <v>432000</v>
      </c>
      <c r="E714" s="63">
        <v>3</v>
      </c>
      <c r="F714" s="63">
        <v>1</v>
      </c>
      <c r="G714" s="64">
        <f t="shared" si="28"/>
        <v>1296000</v>
      </c>
      <c r="I714" s="437"/>
    </row>
    <row r="715" spans="1:9" customFormat="1" ht="15" x14ac:dyDescent="0.25">
      <c r="A715" s="424"/>
      <c r="B715" s="773"/>
      <c r="C715" s="63" t="s">
        <v>1133</v>
      </c>
      <c r="D715" s="63">
        <v>432000</v>
      </c>
      <c r="E715" s="63">
        <v>6</v>
      </c>
      <c r="F715" s="63">
        <v>1</v>
      </c>
      <c r="G715" s="64">
        <f t="shared" si="28"/>
        <v>2592000</v>
      </c>
      <c r="I715" s="438"/>
    </row>
    <row r="716" spans="1:9" customFormat="1" ht="15" x14ac:dyDescent="0.25">
      <c r="A716" s="424"/>
      <c r="B716" s="773"/>
      <c r="C716" s="63" t="s">
        <v>1134</v>
      </c>
      <c r="D716" s="63">
        <v>1552000</v>
      </c>
      <c r="E716" s="63">
        <v>1</v>
      </c>
      <c r="F716" s="63">
        <v>1</v>
      </c>
      <c r="G716" s="64">
        <f t="shared" si="28"/>
        <v>1552000</v>
      </c>
    </row>
    <row r="717" spans="1:9" customFormat="1" ht="15" x14ac:dyDescent="0.25">
      <c r="A717" s="424"/>
      <c r="B717" s="773"/>
      <c r="C717" s="63" t="s">
        <v>1135</v>
      </c>
      <c r="D717" s="63">
        <v>1088000</v>
      </c>
      <c r="E717" s="63">
        <v>1</v>
      </c>
      <c r="F717" s="63">
        <v>1</v>
      </c>
      <c r="G717" s="64">
        <f t="shared" si="28"/>
        <v>1088000</v>
      </c>
    </row>
    <row r="718" spans="1:9" customFormat="1" ht="15" x14ac:dyDescent="0.25">
      <c r="A718" s="424"/>
      <c r="B718" s="425"/>
      <c r="C718" s="63" t="s">
        <v>1136</v>
      </c>
      <c r="D718" s="63">
        <v>416000</v>
      </c>
      <c r="E718" s="63">
        <v>1</v>
      </c>
      <c r="F718" s="63">
        <v>1</v>
      </c>
      <c r="G718" s="64">
        <f t="shared" si="28"/>
        <v>416000</v>
      </c>
    </row>
    <row r="719" spans="1:9" customFormat="1" ht="15" x14ac:dyDescent="0.25">
      <c r="A719" s="424"/>
      <c r="B719" s="425"/>
      <c r="C719" s="63" t="s">
        <v>1137</v>
      </c>
      <c r="D719" s="63">
        <v>416000</v>
      </c>
      <c r="E719" s="63">
        <v>1</v>
      </c>
      <c r="F719" s="63">
        <v>1</v>
      </c>
      <c r="G719" s="64">
        <f t="shared" si="28"/>
        <v>416000</v>
      </c>
    </row>
    <row r="720" spans="1:9" customFormat="1" ht="15" x14ac:dyDescent="0.25">
      <c r="A720" s="424"/>
      <c r="B720" s="425"/>
      <c r="C720" s="63" t="s">
        <v>1138</v>
      </c>
      <c r="D720" s="63">
        <v>1760000</v>
      </c>
      <c r="E720" s="63">
        <v>1</v>
      </c>
      <c r="F720" s="63">
        <v>1</v>
      </c>
      <c r="G720" s="64">
        <f t="shared" si="28"/>
        <v>1760000</v>
      </c>
    </row>
    <row r="721" spans="1:10" customFormat="1" ht="15" x14ac:dyDescent="0.25">
      <c r="A721" s="424"/>
      <c r="B721" s="425"/>
      <c r="C721" s="63" t="s">
        <v>1139</v>
      </c>
      <c r="D721" s="63">
        <v>160000</v>
      </c>
      <c r="E721" s="63">
        <v>2</v>
      </c>
      <c r="F721" s="63">
        <v>1</v>
      </c>
      <c r="G721" s="64">
        <f t="shared" si="28"/>
        <v>320000</v>
      </c>
    </row>
    <row r="722" spans="1:10" customFormat="1" ht="15" x14ac:dyDescent="0.25">
      <c r="A722" s="424"/>
      <c r="B722" s="425"/>
      <c r="C722" s="63" t="s">
        <v>1140</v>
      </c>
      <c r="D722" s="63">
        <v>1248000</v>
      </c>
      <c r="E722" s="63">
        <v>1</v>
      </c>
      <c r="F722" s="63">
        <v>1</v>
      </c>
      <c r="G722" s="64">
        <f t="shared" si="28"/>
        <v>1248000</v>
      </c>
    </row>
    <row r="723" spans="1:10" customFormat="1" ht="15" x14ac:dyDescent="0.25">
      <c r="A723" s="424"/>
      <c r="B723" s="425"/>
      <c r="C723" s="63" t="s">
        <v>1141</v>
      </c>
      <c r="D723" s="63">
        <v>944000</v>
      </c>
      <c r="E723" s="63">
        <v>1</v>
      </c>
      <c r="F723" s="63">
        <v>1</v>
      </c>
      <c r="G723" s="64">
        <f t="shared" si="28"/>
        <v>944000</v>
      </c>
    </row>
    <row r="724" spans="1:10" customFormat="1" ht="15" x14ac:dyDescent="0.25">
      <c r="A724" s="424"/>
      <c r="B724" s="425"/>
      <c r="C724" s="63" t="s">
        <v>1142</v>
      </c>
      <c r="D724" s="63">
        <v>608000</v>
      </c>
      <c r="E724" s="63">
        <v>1</v>
      </c>
      <c r="F724" s="63">
        <v>1</v>
      </c>
      <c r="G724" s="64">
        <f t="shared" si="28"/>
        <v>608000</v>
      </c>
    </row>
    <row r="725" spans="1:10" customFormat="1" ht="15" x14ac:dyDescent="0.25">
      <c r="A725" s="424"/>
      <c r="B725" s="425"/>
      <c r="C725" s="63" t="s">
        <v>1143</v>
      </c>
      <c r="D725" s="63">
        <v>240000</v>
      </c>
      <c r="E725" s="63">
        <v>1</v>
      </c>
      <c r="F725" s="63">
        <v>1</v>
      </c>
      <c r="G725" s="64">
        <f t="shared" si="28"/>
        <v>240000</v>
      </c>
    </row>
    <row r="726" spans="1:10" customFormat="1" ht="15" x14ac:dyDescent="0.25">
      <c r="A726" s="424"/>
      <c r="B726" s="425"/>
      <c r="C726" s="63" t="s">
        <v>1144</v>
      </c>
      <c r="D726" s="63">
        <v>432000</v>
      </c>
      <c r="E726" s="63">
        <v>1</v>
      </c>
      <c r="F726" s="63">
        <v>1</v>
      </c>
      <c r="G726" s="64">
        <f t="shared" si="28"/>
        <v>432000</v>
      </c>
    </row>
    <row r="727" spans="1:10" customFormat="1" ht="15" x14ac:dyDescent="0.25">
      <c r="A727" s="424"/>
      <c r="B727" s="425"/>
      <c r="C727" s="63" t="s">
        <v>1145</v>
      </c>
      <c r="D727" s="63">
        <v>944000</v>
      </c>
      <c r="E727" s="63">
        <v>1</v>
      </c>
      <c r="F727" s="63">
        <v>1</v>
      </c>
      <c r="G727" s="64">
        <f t="shared" si="28"/>
        <v>944000</v>
      </c>
    </row>
    <row r="728" spans="1:10" customFormat="1" ht="15" x14ac:dyDescent="0.25">
      <c r="A728" s="424"/>
      <c r="B728" s="425"/>
      <c r="C728" s="63" t="s">
        <v>1146</v>
      </c>
      <c r="D728" s="63">
        <v>1664000</v>
      </c>
      <c r="E728" s="63">
        <v>1</v>
      </c>
      <c r="F728" s="63">
        <v>1</v>
      </c>
      <c r="G728" s="64">
        <f t="shared" si="28"/>
        <v>1664000</v>
      </c>
      <c r="J728" s="63"/>
    </row>
    <row r="729" spans="1:10" customFormat="1" ht="15" x14ac:dyDescent="0.25">
      <c r="A729" s="424"/>
      <c r="B729" s="425"/>
      <c r="C729" s="63" t="s">
        <v>1147</v>
      </c>
      <c r="D729" s="63">
        <v>1776000</v>
      </c>
      <c r="E729" s="63">
        <v>1</v>
      </c>
      <c r="F729" s="63">
        <v>1</v>
      </c>
      <c r="G729" s="64">
        <f t="shared" si="28"/>
        <v>1776000</v>
      </c>
    </row>
    <row r="730" spans="1:10" customFormat="1" ht="15" x14ac:dyDescent="0.25">
      <c r="A730" s="424"/>
      <c r="B730" s="425"/>
      <c r="C730" s="63" t="s">
        <v>1148</v>
      </c>
      <c r="D730" s="63">
        <v>2160000</v>
      </c>
      <c r="E730" s="63">
        <v>1</v>
      </c>
      <c r="F730" s="63">
        <v>1</v>
      </c>
      <c r="G730" s="64">
        <f t="shared" si="28"/>
        <v>2160000</v>
      </c>
    </row>
    <row r="731" spans="1:10" customFormat="1" ht="15" x14ac:dyDescent="0.25">
      <c r="A731" s="424"/>
      <c r="B731" s="425"/>
      <c r="C731" s="63" t="s">
        <v>1149</v>
      </c>
      <c r="D731" s="63">
        <v>2176000</v>
      </c>
      <c r="E731" s="63">
        <v>1</v>
      </c>
      <c r="F731" s="63">
        <v>1</v>
      </c>
      <c r="G731" s="64">
        <f t="shared" si="28"/>
        <v>2176000</v>
      </c>
    </row>
    <row r="732" spans="1:10" customFormat="1" ht="15" x14ac:dyDescent="0.25">
      <c r="A732" s="424"/>
      <c r="B732" s="425"/>
      <c r="C732" s="63" t="s">
        <v>1150</v>
      </c>
      <c r="D732" s="63">
        <v>2464000</v>
      </c>
      <c r="E732" s="63">
        <v>1</v>
      </c>
      <c r="F732" s="63">
        <v>1</v>
      </c>
      <c r="G732" s="64">
        <f t="shared" si="28"/>
        <v>2464000</v>
      </c>
    </row>
    <row r="733" spans="1:10" customFormat="1" ht="15" x14ac:dyDescent="0.25">
      <c r="A733" s="424"/>
      <c r="B733" s="425"/>
      <c r="C733" s="63" t="s">
        <v>1151</v>
      </c>
      <c r="D733" s="63">
        <v>2528000</v>
      </c>
      <c r="E733" s="63">
        <v>1</v>
      </c>
      <c r="F733" s="63">
        <v>1</v>
      </c>
      <c r="G733" s="64">
        <f t="shared" si="28"/>
        <v>2528000</v>
      </c>
    </row>
    <row r="734" spans="1:10" customFormat="1" ht="15" x14ac:dyDescent="0.25">
      <c r="A734" s="424"/>
      <c r="B734" s="425"/>
      <c r="C734" s="63" t="s">
        <v>1152</v>
      </c>
      <c r="D734" s="63">
        <v>352000</v>
      </c>
      <c r="E734" s="63">
        <v>1</v>
      </c>
      <c r="F734" s="63">
        <v>1</v>
      </c>
      <c r="G734" s="64">
        <f t="shared" si="28"/>
        <v>352000</v>
      </c>
    </row>
    <row r="735" spans="1:10" customFormat="1" ht="33.75" x14ac:dyDescent="0.25">
      <c r="A735" s="424"/>
      <c r="B735" s="425"/>
      <c r="C735" s="208" t="s">
        <v>1153</v>
      </c>
      <c r="D735" s="63">
        <f>8000*10</f>
        <v>80000</v>
      </c>
      <c r="E735" s="63">
        <v>27</v>
      </c>
      <c r="F735" s="63">
        <v>3</v>
      </c>
      <c r="G735" s="64">
        <f t="shared" si="28"/>
        <v>6480000</v>
      </c>
    </row>
    <row r="736" spans="1:10" customFormat="1" ht="15" x14ac:dyDescent="0.25">
      <c r="A736" s="424"/>
      <c r="B736" s="425"/>
      <c r="C736" s="63" t="s">
        <v>231</v>
      </c>
      <c r="D736" s="63">
        <v>2000000</v>
      </c>
      <c r="E736" s="63">
        <v>1</v>
      </c>
      <c r="F736" s="63">
        <v>3</v>
      </c>
      <c r="G736" s="64">
        <f t="shared" si="28"/>
        <v>6000000</v>
      </c>
    </row>
    <row r="737" spans="1:10" customFormat="1" ht="15" x14ac:dyDescent="0.25">
      <c r="A737" s="424"/>
      <c r="B737" s="425"/>
      <c r="C737" s="63" t="s">
        <v>97</v>
      </c>
      <c r="D737" s="63">
        <v>40000</v>
      </c>
      <c r="E737" s="63">
        <v>88</v>
      </c>
      <c r="F737" s="63">
        <v>3</v>
      </c>
      <c r="G737" s="64">
        <f t="shared" si="28"/>
        <v>10560000</v>
      </c>
    </row>
    <row r="738" spans="1:10" customFormat="1" ht="15" x14ac:dyDescent="0.25">
      <c r="A738" s="424"/>
      <c r="B738" s="425"/>
      <c r="C738" s="63" t="s">
        <v>1154</v>
      </c>
      <c r="D738" s="63">
        <v>2924000</v>
      </c>
      <c r="E738" s="63">
        <v>1</v>
      </c>
      <c r="F738" s="63">
        <v>1</v>
      </c>
      <c r="G738" s="64">
        <f t="shared" si="28"/>
        <v>2924000</v>
      </c>
    </row>
    <row r="739" spans="1:10" customFormat="1" ht="15" x14ac:dyDescent="0.25">
      <c r="A739" s="424"/>
      <c r="B739" s="425"/>
      <c r="C739" s="63" t="s">
        <v>147</v>
      </c>
      <c r="D739" s="63">
        <v>40000</v>
      </c>
      <c r="E739" s="63">
        <v>7</v>
      </c>
      <c r="F739" s="63">
        <v>3</v>
      </c>
      <c r="G739" s="64">
        <f t="shared" si="28"/>
        <v>840000</v>
      </c>
      <c r="J739" s="426"/>
    </row>
    <row r="740" spans="1:10" customFormat="1" ht="15" x14ac:dyDescent="0.25">
      <c r="A740" s="424"/>
      <c r="B740" s="425"/>
      <c r="C740" s="63" t="s">
        <v>1155</v>
      </c>
      <c r="D740" s="63">
        <v>50000</v>
      </c>
      <c r="E740" s="63">
        <v>32</v>
      </c>
      <c r="F740" s="63">
        <v>1</v>
      </c>
      <c r="G740" s="64">
        <f>D740*E740*F740</f>
        <v>1600000</v>
      </c>
      <c r="I740" s="426"/>
    </row>
    <row r="741" spans="1:10" customFormat="1" ht="15.75" thickBot="1" x14ac:dyDescent="0.3">
      <c r="A741" s="424"/>
      <c r="B741" s="425"/>
      <c r="C741" s="63" t="s">
        <v>98</v>
      </c>
      <c r="D741" s="63">
        <v>450000</v>
      </c>
      <c r="E741" s="63">
        <v>1</v>
      </c>
      <c r="F741" s="63">
        <v>1</v>
      </c>
      <c r="G741" s="64">
        <f t="shared" si="28"/>
        <v>450000</v>
      </c>
      <c r="I741" s="426"/>
    </row>
    <row r="742" spans="1:10" customFormat="1" ht="15.75" thickBot="1" x14ac:dyDescent="0.3">
      <c r="A742" s="439"/>
      <c r="B742" s="440"/>
      <c r="C742" s="441" t="s">
        <v>571</v>
      </c>
      <c r="D742" s="442"/>
      <c r="E742" s="442"/>
      <c r="F742" s="442"/>
      <c r="G742" s="420">
        <f>SUM(G702:G741)</f>
        <v>228710000</v>
      </c>
      <c r="I742" s="436"/>
    </row>
    <row r="743" spans="1:10" customFormat="1" ht="15.75" thickBot="1" x14ac:dyDescent="0.3">
      <c r="A743" s="429"/>
      <c r="B743" s="443"/>
      <c r="C743" s="444" t="s">
        <v>1156</v>
      </c>
      <c r="D743" s="445">
        <v>2</v>
      </c>
      <c r="E743" s="445"/>
      <c r="F743" s="446" t="s">
        <v>1157</v>
      </c>
      <c r="G743" s="447">
        <f>G742*D743</f>
        <v>457420000</v>
      </c>
      <c r="H743" s="434">
        <f>G743/8136</f>
        <v>56221.730580137657</v>
      </c>
      <c r="I743" s="436"/>
    </row>
    <row r="744" spans="1:10" customFormat="1" ht="15" x14ac:dyDescent="0.25">
      <c r="A744" s="448">
        <v>3</v>
      </c>
      <c r="B744" s="775" t="s">
        <v>1158</v>
      </c>
      <c r="C744" s="53" t="s">
        <v>39</v>
      </c>
      <c r="D744" s="53">
        <v>150000</v>
      </c>
      <c r="E744" s="53">
        <v>1</v>
      </c>
      <c r="F744" s="53">
        <v>1</v>
      </c>
      <c r="G744" s="54">
        <f t="shared" ref="G744:G778" si="29">D744*E744*F744</f>
        <v>150000</v>
      </c>
    </row>
    <row r="745" spans="1:10" customFormat="1" ht="15" x14ac:dyDescent="0.25">
      <c r="A745" s="424"/>
      <c r="B745" s="776"/>
      <c r="C745" s="208" t="s">
        <v>1120</v>
      </c>
      <c r="D745" s="63">
        <v>270000</v>
      </c>
      <c r="E745" s="63">
        <v>1</v>
      </c>
      <c r="F745" s="63">
        <v>3</v>
      </c>
      <c r="G745" s="64">
        <f t="shared" si="29"/>
        <v>810000</v>
      </c>
    </row>
    <row r="746" spans="1:10" customFormat="1" ht="15" x14ac:dyDescent="0.25">
      <c r="A746" s="424"/>
      <c r="B746" s="773" t="s">
        <v>1159</v>
      </c>
      <c r="C746" s="208" t="s">
        <v>1122</v>
      </c>
      <c r="D746" s="63">
        <v>250000</v>
      </c>
      <c r="E746" s="63">
        <v>9</v>
      </c>
      <c r="F746" s="63">
        <v>3</v>
      </c>
      <c r="G746" s="64">
        <f t="shared" si="29"/>
        <v>6750000</v>
      </c>
    </row>
    <row r="747" spans="1:10" customFormat="1" ht="15" x14ac:dyDescent="0.25">
      <c r="A747" s="424"/>
      <c r="B747" s="773"/>
      <c r="C747" s="63" t="s">
        <v>1123</v>
      </c>
      <c r="D747" s="63">
        <v>100000</v>
      </c>
      <c r="E747" s="63">
        <v>10</v>
      </c>
      <c r="F747" s="63">
        <v>1</v>
      </c>
      <c r="G747" s="64">
        <f t="shared" si="29"/>
        <v>1000000</v>
      </c>
    </row>
    <row r="748" spans="1:10" customFormat="1" ht="15" x14ac:dyDescent="0.25">
      <c r="A748" s="424"/>
      <c r="B748" s="773"/>
      <c r="C748" s="208" t="s">
        <v>1124</v>
      </c>
      <c r="D748" s="63">
        <v>250000</v>
      </c>
      <c r="E748" s="63">
        <v>18</v>
      </c>
      <c r="F748" s="63">
        <v>3</v>
      </c>
      <c r="G748" s="64">
        <f t="shared" si="29"/>
        <v>13500000</v>
      </c>
    </row>
    <row r="749" spans="1:10" customFormat="1" ht="15" x14ac:dyDescent="0.25">
      <c r="A749" s="424"/>
      <c r="B749" s="773"/>
      <c r="C749" s="63" t="s">
        <v>1125</v>
      </c>
      <c r="D749" s="63">
        <v>100000</v>
      </c>
      <c r="E749" s="63">
        <v>18</v>
      </c>
      <c r="F749" s="63">
        <v>1</v>
      </c>
      <c r="G749" s="64">
        <f t="shared" si="29"/>
        <v>1800000</v>
      </c>
    </row>
    <row r="750" spans="1:10" customFormat="1" ht="22.5" x14ac:dyDescent="0.25">
      <c r="A750" s="424"/>
      <c r="B750" s="773"/>
      <c r="C750" s="208" t="s">
        <v>1126</v>
      </c>
      <c r="D750" s="63">
        <v>250000</v>
      </c>
      <c r="E750" s="63">
        <f>14*3</f>
        <v>42</v>
      </c>
      <c r="F750" s="63">
        <v>5</v>
      </c>
      <c r="G750" s="64">
        <f t="shared" si="29"/>
        <v>52500000</v>
      </c>
    </row>
    <row r="751" spans="1:10" customFormat="1" ht="22.5" x14ac:dyDescent="0.25">
      <c r="A751" s="424">
        <f>48+8</f>
        <v>56</v>
      </c>
      <c r="B751" s="773"/>
      <c r="C751" s="208" t="s">
        <v>1127</v>
      </c>
      <c r="D751" s="63">
        <v>100000</v>
      </c>
      <c r="E751" s="63">
        <f>14*3</f>
        <v>42</v>
      </c>
      <c r="F751" s="63">
        <v>1</v>
      </c>
      <c r="G751" s="64">
        <f t="shared" si="29"/>
        <v>4200000</v>
      </c>
      <c r="I751" s="436"/>
    </row>
    <row r="752" spans="1:10" customFormat="1" ht="15" x14ac:dyDescent="0.25">
      <c r="A752" s="424"/>
      <c r="B752" s="773"/>
      <c r="C752" s="208" t="s">
        <v>1128</v>
      </c>
      <c r="D752" s="63">
        <v>250000</v>
      </c>
      <c r="E752" s="63">
        <v>12</v>
      </c>
      <c r="F752" s="63">
        <v>6</v>
      </c>
      <c r="G752" s="64">
        <f t="shared" si="29"/>
        <v>18000000</v>
      </c>
    </row>
    <row r="753" spans="1:10" customFormat="1" ht="15" x14ac:dyDescent="0.25">
      <c r="A753" s="424"/>
      <c r="B753" s="773"/>
      <c r="C753" s="208" t="s">
        <v>1129</v>
      </c>
      <c r="D753" s="63">
        <v>100000</v>
      </c>
      <c r="E753" s="63">
        <v>12</v>
      </c>
      <c r="F753" s="63">
        <v>1</v>
      </c>
      <c r="G753" s="64">
        <f t="shared" si="29"/>
        <v>1200000</v>
      </c>
      <c r="I753" s="436"/>
    </row>
    <row r="754" spans="1:10" customFormat="1" ht="15" x14ac:dyDescent="0.25">
      <c r="A754" s="424"/>
      <c r="B754" s="773"/>
      <c r="C754" s="63" t="s">
        <v>1132</v>
      </c>
      <c r="D754" s="63">
        <v>432000</v>
      </c>
      <c r="E754" s="63">
        <v>2</v>
      </c>
      <c r="F754" s="63">
        <v>1</v>
      </c>
      <c r="G754" s="64">
        <f t="shared" si="29"/>
        <v>864000</v>
      </c>
      <c r="I754" s="437"/>
    </row>
    <row r="755" spans="1:10" customFormat="1" ht="15" x14ac:dyDescent="0.25">
      <c r="A755" s="424"/>
      <c r="B755" s="773"/>
      <c r="C755" s="63" t="s">
        <v>1133</v>
      </c>
      <c r="D755" s="63">
        <v>432000</v>
      </c>
      <c r="E755" s="63">
        <v>6</v>
      </c>
      <c r="F755" s="63">
        <v>1</v>
      </c>
      <c r="G755" s="64">
        <f t="shared" si="29"/>
        <v>2592000</v>
      </c>
      <c r="I755" s="438"/>
    </row>
    <row r="756" spans="1:10" customFormat="1" ht="15" x14ac:dyDescent="0.25">
      <c r="A756" s="424"/>
      <c r="B756" s="773"/>
      <c r="C756" s="63" t="s">
        <v>1134</v>
      </c>
      <c r="D756" s="63">
        <v>1552000</v>
      </c>
      <c r="E756" s="63">
        <v>1</v>
      </c>
      <c r="F756" s="63">
        <v>1</v>
      </c>
      <c r="G756" s="64">
        <f t="shared" si="29"/>
        <v>1552000</v>
      </c>
    </row>
    <row r="757" spans="1:10" customFormat="1" ht="15" x14ac:dyDescent="0.25">
      <c r="A757" s="424"/>
      <c r="B757" s="773"/>
      <c r="C757" s="63" t="s">
        <v>1135</v>
      </c>
      <c r="D757" s="63">
        <v>1088000</v>
      </c>
      <c r="E757" s="63">
        <v>1</v>
      </c>
      <c r="F757" s="63">
        <v>1</v>
      </c>
      <c r="G757" s="64">
        <f t="shared" si="29"/>
        <v>1088000</v>
      </c>
    </row>
    <row r="758" spans="1:10" customFormat="1" ht="15" x14ac:dyDescent="0.25">
      <c r="A758" s="424"/>
      <c r="B758" s="773"/>
      <c r="C758" s="63" t="s">
        <v>1136</v>
      </c>
      <c r="D758" s="63">
        <v>416000</v>
      </c>
      <c r="E758" s="63">
        <v>1</v>
      </c>
      <c r="F758" s="63">
        <v>1</v>
      </c>
      <c r="G758" s="64">
        <f t="shared" si="29"/>
        <v>416000</v>
      </c>
    </row>
    <row r="759" spans="1:10" customFormat="1" ht="15" x14ac:dyDescent="0.25">
      <c r="A759" s="424"/>
      <c r="B759" s="773"/>
      <c r="C759" s="63" t="s">
        <v>1137</v>
      </c>
      <c r="D759" s="63">
        <v>416000</v>
      </c>
      <c r="E759" s="63">
        <v>1</v>
      </c>
      <c r="F759" s="63">
        <v>1</v>
      </c>
      <c r="G759" s="64">
        <f t="shared" si="29"/>
        <v>416000</v>
      </c>
    </row>
    <row r="760" spans="1:10" customFormat="1" ht="15" x14ac:dyDescent="0.25">
      <c r="A760" s="424"/>
      <c r="B760" s="425"/>
      <c r="C760" s="63" t="s">
        <v>1138</v>
      </c>
      <c r="D760" s="63">
        <v>1760000</v>
      </c>
      <c r="E760" s="63">
        <v>1</v>
      </c>
      <c r="F760" s="63">
        <v>1</v>
      </c>
      <c r="G760" s="64">
        <f t="shared" si="29"/>
        <v>1760000</v>
      </c>
    </row>
    <row r="761" spans="1:10" customFormat="1" ht="15" x14ac:dyDescent="0.25">
      <c r="A761" s="424"/>
      <c r="B761" s="425"/>
      <c r="C761" s="63" t="s">
        <v>1140</v>
      </c>
      <c r="D761" s="63">
        <v>1248000</v>
      </c>
      <c r="E761" s="63">
        <v>1</v>
      </c>
      <c r="F761" s="63">
        <v>1</v>
      </c>
      <c r="G761" s="64">
        <f t="shared" si="29"/>
        <v>1248000</v>
      </c>
      <c r="J761" s="63"/>
    </row>
    <row r="762" spans="1:10" customFormat="1" ht="15" x14ac:dyDescent="0.25">
      <c r="A762" s="424"/>
      <c r="B762" s="425"/>
      <c r="C762" s="63" t="s">
        <v>1141</v>
      </c>
      <c r="D762" s="63">
        <v>944000</v>
      </c>
      <c r="E762" s="63">
        <v>1</v>
      </c>
      <c r="F762" s="63">
        <v>1</v>
      </c>
      <c r="G762" s="64">
        <f t="shared" si="29"/>
        <v>944000</v>
      </c>
    </row>
    <row r="763" spans="1:10" customFormat="1" ht="15" x14ac:dyDescent="0.25">
      <c r="A763" s="424"/>
      <c r="B763" s="425"/>
      <c r="C763" s="63" t="s">
        <v>1142</v>
      </c>
      <c r="D763" s="63">
        <v>608000</v>
      </c>
      <c r="E763" s="63">
        <v>1</v>
      </c>
      <c r="F763" s="63">
        <v>1</v>
      </c>
      <c r="G763" s="64">
        <f t="shared" si="29"/>
        <v>608000</v>
      </c>
    </row>
    <row r="764" spans="1:10" customFormat="1" ht="15" x14ac:dyDescent="0.25">
      <c r="A764" s="424"/>
      <c r="B764" s="425"/>
      <c r="C764" s="63" t="s">
        <v>1143</v>
      </c>
      <c r="D764" s="63">
        <v>240000</v>
      </c>
      <c r="E764" s="63">
        <v>1</v>
      </c>
      <c r="F764" s="63">
        <v>1</v>
      </c>
      <c r="G764" s="64">
        <f t="shared" si="29"/>
        <v>240000</v>
      </c>
    </row>
    <row r="765" spans="1:10" customFormat="1" ht="15" x14ac:dyDescent="0.25">
      <c r="A765" s="424"/>
      <c r="B765" s="425"/>
      <c r="C765" s="63" t="s">
        <v>1144</v>
      </c>
      <c r="D765" s="63">
        <v>432000</v>
      </c>
      <c r="E765" s="63">
        <v>1</v>
      </c>
      <c r="F765" s="63">
        <v>1</v>
      </c>
      <c r="G765" s="64">
        <f t="shared" si="29"/>
        <v>432000</v>
      </c>
    </row>
    <row r="766" spans="1:10" customFormat="1" ht="15" x14ac:dyDescent="0.25">
      <c r="A766" s="424"/>
      <c r="B766" s="425"/>
      <c r="C766" s="63" t="s">
        <v>1145</v>
      </c>
      <c r="D766" s="63">
        <v>944000</v>
      </c>
      <c r="E766" s="63">
        <v>1</v>
      </c>
      <c r="F766" s="63">
        <v>1</v>
      </c>
      <c r="G766" s="64">
        <f t="shared" si="29"/>
        <v>944000</v>
      </c>
    </row>
    <row r="767" spans="1:10" customFormat="1" ht="15" x14ac:dyDescent="0.25">
      <c r="A767" s="424"/>
      <c r="B767" s="425"/>
      <c r="C767" s="63" t="s">
        <v>1146</v>
      </c>
      <c r="D767" s="63">
        <v>1776000</v>
      </c>
      <c r="E767" s="63">
        <v>1</v>
      </c>
      <c r="F767" s="63">
        <v>1</v>
      </c>
      <c r="G767" s="64">
        <f t="shared" si="29"/>
        <v>1776000</v>
      </c>
    </row>
    <row r="768" spans="1:10" customFormat="1" ht="15" x14ac:dyDescent="0.25">
      <c r="A768" s="424"/>
      <c r="B768" s="425"/>
      <c r="C768" s="63" t="s">
        <v>1147</v>
      </c>
      <c r="D768" s="63">
        <v>1664000</v>
      </c>
      <c r="E768" s="63">
        <v>1</v>
      </c>
      <c r="F768" s="63">
        <v>1</v>
      </c>
      <c r="G768" s="64">
        <f t="shared" si="29"/>
        <v>1664000</v>
      </c>
      <c r="J768" s="426"/>
    </row>
    <row r="769" spans="1:9" customFormat="1" ht="15" x14ac:dyDescent="0.25">
      <c r="A769" s="424"/>
      <c r="B769" s="425"/>
      <c r="C769" s="63" t="s">
        <v>1148</v>
      </c>
      <c r="D769" s="63">
        <v>2160000</v>
      </c>
      <c r="E769" s="63">
        <v>1</v>
      </c>
      <c r="F769" s="63">
        <v>1</v>
      </c>
      <c r="G769" s="64">
        <f t="shared" si="29"/>
        <v>2160000</v>
      </c>
      <c r="I769" s="426"/>
    </row>
    <row r="770" spans="1:9" customFormat="1" ht="15" x14ac:dyDescent="0.25">
      <c r="A770" s="425"/>
      <c r="B770" s="425"/>
      <c r="C770" s="63" t="s">
        <v>1149</v>
      </c>
      <c r="D770" s="63">
        <v>2176000</v>
      </c>
      <c r="E770" s="63">
        <v>1</v>
      </c>
      <c r="F770" s="63">
        <v>1</v>
      </c>
      <c r="G770" s="64">
        <f t="shared" si="29"/>
        <v>2176000</v>
      </c>
      <c r="I770" s="426"/>
    </row>
    <row r="771" spans="1:9" customFormat="1" ht="15" x14ac:dyDescent="0.25">
      <c r="A771" s="425"/>
      <c r="B771" s="425"/>
      <c r="C771" s="63" t="s">
        <v>1150</v>
      </c>
      <c r="D771" s="63">
        <v>2464000</v>
      </c>
      <c r="E771" s="63">
        <v>1</v>
      </c>
      <c r="F771" s="63">
        <v>1</v>
      </c>
      <c r="G771" s="64">
        <f t="shared" si="29"/>
        <v>2464000</v>
      </c>
      <c r="I771" s="436"/>
    </row>
    <row r="772" spans="1:9" customFormat="1" ht="15" x14ac:dyDescent="0.25">
      <c r="A772" s="425"/>
      <c r="B772" s="425"/>
      <c r="C772" s="63" t="s">
        <v>1151</v>
      </c>
      <c r="D772" s="63">
        <v>2528000</v>
      </c>
      <c r="E772" s="63">
        <v>1</v>
      </c>
      <c r="F772" s="63">
        <v>1</v>
      </c>
      <c r="G772" s="64">
        <f t="shared" si="29"/>
        <v>2528000</v>
      </c>
      <c r="I772" s="436"/>
    </row>
    <row r="773" spans="1:9" customFormat="1" ht="15" x14ac:dyDescent="0.25">
      <c r="A773" s="425"/>
      <c r="B773" s="425"/>
      <c r="C773" s="63" t="s">
        <v>1152</v>
      </c>
      <c r="D773" s="63">
        <v>352000</v>
      </c>
      <c r="E773" s="63">
        <v>1</v>
      </c>
      <c r="F773" s="63">
        <v>1</v>
      </c>
      <c r="G773" s="64">
        <f t="shared" si="29"/>
        <v>352000</v>
      </c>
    </row>
    <row r="774" spans="1:9" customFormat="1" ht="33.75" x14ac:dyDescent="0.25">
      <c r="C774" s="208" t="s">
        <v>1153</v>
      </c>
      <c r="D774" s="63">
        <f>8000*10</f>
        <v>80000</v>
      </c>
      <c r="E774" s="63">
        <f>18+8</f>
        <v>26</v>
      </c>
      <c r="F774" s="63">
        <v>3</v>
      </c>
      <c r="G774" s="64">
        <f t="shared" si="29"/>
        <v>6240000</v>
      </c>
    </row>
    <row r="775" spans="1:9" customFormat="1" ht="15" x14ac:dyDescent="0.25">
      <c r="C775" s="63" t="s">
        <v>231</v>
      </c>
      <c r="D775" s="63">
        <v>2000000</v>
      </c>
      <c r="E775" s="63">
        <v>1</v>
      </c>
      <c r="F775" s="63">
        <v>3</v>
      </c>
      <c r="G775" s="64">
        <f t="shared" si="29"/>
        <v>6000000</v>
      </c>
    </row>
    <row r="776" spans="1:9" customFormat="1" ht="15" x14ac:dyDescent="0.25">
      <c r="C776" s="63" t="s">
        <v>97</v>
      </c>
      <c r="D776" s="63">
        <v>40000</v>
      </c>
      <c r="E776" s="63">
        <v>56</v>
      </c>
      <c r="F776" s="63">
        <v>3</v>
      </c>
      <c r="G776" s="64">
        <f t="shared" si="29"/>
        <v>6720000</v>
      </c>
    </row>
    <row r="777" spans="1:9" customFormat="1" ht="15" x14ac:dyDescent="0.25">
      <c r="C777" s="63" t="s">
        <v>1154</v>
      </c>
      <c r="D777" s="63">
        <v>1281000</v>
      </c>
      <c r="E777" s="63">
        <v>1</v>
      </c>
      <c r="F777" s="63">
        <v>1</v>
      </c>
      <c r="G777" s="64">
        <f t="shared" si="29"/>
        <v>1281000</v>
      </c>
    </row>
    <row r="778" spans="1:9" customFormat="1" ht="15" x14ac:dyDescent="0.25">
      <c r="C778" s="63" t="s">
        <v>147</v>
      </c>
      <c r="D778" s="63">
        <v>40000</v>
      </c>
      <c r="E778" s="63">
        <v>7</v>
      </c>
      <c r="F778" s="63">
        <v>3</v>
      </c>
      <c r="G778" s="64">
        <f t="shared" si="29"/>
        <v>840000</v>
      </c>
    </row>
    <row r="779" spans="1:9" customFormat="1" ht="15" x14ac:dyDescent="0.25">
      <c r="C779" s="63" t="s">
        <v>1155</v>
      </c>
      <c r="D779" s="63">
        <v>50000</v>
      </c>
      <c r="E779" s="63">
        <v>27</v>
      </c>
      <c r="F779" s="63">
        <v>1</v>
      </c>
      <c r="G779" s="64">
        <f>D779*E779*F779</f>
        <v>1350000</v>
      </c>
    </row>
    <row r="780" spans="1:9" customFormat="1" ht="15.75" thickBot="1" x14ac:dyDescent="0.3">
      <c r="C780" s="63" t="s">
        <v>98</v>
      </c>
      <c r="D780" s="63">
        <v>350000</v>
      </c>
      <c r="E780" s="63">
        <v>1</v>
      </c>
      <c r="F780" s="63">
        <v>1</v>
      </c>
      <c r="G780" s="64">
        <f>D780*E780*F780</f>
        <v>350000</v>
      </c>
    </row>
    <row r="781" spans="1:9" customFormat="1" ht="15.75" thickBot="1" x14ac:dyDescent="0.3">
      <c r="C781" s="449" t="s">
        <v>571</v>
      </c>
      <c r="D781" s="450"/>
      <c r="E781" s="450"/>
      <c r="F781" s="450"/>
      <c r="G781" s="451">
        <f>SUM(G744:G780)</f>
        <v>148915000</v>
      </c>
      <c r="H781" s="434">
        <f>G781/8136</f>
        <v>18303.220255653883</v>
      </c>
    </row>
    <row r="782" spans="1:9" customFormat="1" ht="15.75" thickBot="1" x14ac:dyDescent="0.3">
      <c r="C782" s="449"/>
      <c r="D782" s="452"/>
      <c r="E782" s="452"/>
      <c r="F782" s="452"/>
      <c r="G782" s="453" t="s">
        <v>1160</v>
      </c>
      <c r="H782" s="454">
        <f>SUM(H657:H781)</f>
        <v>79017.330383480818</v>
      </c>
    </row>
    <row r="783" spans="1:9" s="290" customFormat="1" ht="16.5" thickBot="1" x14ac:dyDescent="0.3">
      <c r="A783" s="777" t="s">
        <v>141</v>
      </c>
      <c r="B783" s="777"/>
      <c r="C783" s="777"/>
      <c r="D783" s="455"/>
      <c r="E783" s="455"/>
      <c r="F783" s="455"/>
      <c r="G783" s="456"/>
      <c r="H783" s="112"/>
    </row>
    <row r="784" spans="1:9" customFormat="1" ht="19.5" thickBot="1" x14ac:dyDescent="0.35">
      <c r="A784" s="457">
        <v>1</v>
      </c>
      <c r="B784" s="458" t="s">
        <v>1161</v>
      </c>
      <c r="C784" s="778" t="s">
        <v>1162</v>
      </c>
      <c r="D784" s="779"/>
      <c r="E784" s="779"/>
      <c r="F784" s="779"/>
      <c r="G784" s="459">
        <v>97529.5</v>
      </c>
      <c r="H784" s="460">
        <f>G784</f>
        <v>97529.5</v>
      </c>
    </row>
    <row r="785" spans="1:103" s="3" customFormat="1" ht="12" hidden="1" customHeight="1" x14ac:dyDescent="0.25">
      <c r="A785" s="461"/>
      <c r="B785" s="462"/>
      <c r="C785" s="463" t="s">
        <v>1163</v>
      </c>
      <c r="D785" s="464"/>
      <c r="E785" s="464"/>
      <c r="F785" s="464"/>
      <c r="G785" s="465"/>
      <c r="H785" s="466">
        <f>SUM(H783:H784)+1.3</f>
        <v>97530.8</v>
      </c>
      <c r="I785" s="467"/>
      <c r="J785" s="467"/>
      <c r="K785" s="467"/>
    </row>
    <row r="786" spans="1:103" s="472" customFormat="1" ht="19.5" customHeight="1" x14ac:dyDescent="0.25">
      <c r="A786" s="780" t="s">
        <v>17</v>
      </c>
      <c r="B786" s="780"/>
      <c r="C786" s="780"/>
      <c r="D786" s="468"/>
      <c r="E786" s="468"/>
      <c r="F786" s="468"/>
      <c r="G786" s="469"/>
      <c r="H786" s="470"/>
      <c r="I786" s="471"/>
      <c r="J786" s="471"/>
      <c r="K786" s="471"/>
    </row>
    <row r="787" spans="1:103" s="475" customFormat="1" ht="23.25" x14ac:dyDescent="0.35">
      <c r="A787" s="473" t="s">
        <v>17</v>
      </c>
      <c r="B787" s="473"/>
      <c r="C787" s="473"/>
      <c r="D787" s="473"/>
      <c r="E787" s="473"/>
      <c r="F787" s="473"/>
      <c r="G787" s="473"/>
      <c r="H787" s="474"/>
      <c r="I787" s="474"/>
      <c r="J787" s="474"/>
      <c r="K787" s="474"/>
      <c r="L787" s="474"/>
      <c r="M787" s="474"/>
      <c r="N787" s="474"/>
      <c r="O787" s="474"/>
      <c r="P787" s="474"/>
      <c r="Q787" s="474"/>
      <c r="R787" s="474"/>
      <c r="S787" s="474"/>
      <c r="T787" s="474"/>
      <c r="U787" s="474"/>
      <c r="V787" s="474"/>
      <c r="W787" s="474"/>
      <c r="X787" s="474"/>
      <c r="Y787" s="474"/>
      <c r="Z787" s="474"/>
      <c r="AA787" s="474"/>
      <c r="AB787" s="474"/>
      <c r="AC787" s="474"/>
      <c r="AD787" s="474"/>
      <c r="AE787" s="474"/>
      <c r="AF787" s="474"/>
      <c r="AG787" s="474"/>
      <c r="AH787" s="474"/>
      <c r="AI787" s="474"/>
      <c r="AJ787" s="474"/>
      <c r="AK787" s="474"/>
      <c r="AL787" s="474"/>
      <c r="AM787" s="474"/>
      <c r="AN787" s="474"/>
      <c r="AO787" s="474"/>
      <c r="AP787" s="474"/>
      <c r="AQ787" s="474"/>
      <c r="AR787" s="474"/>
      <c r="AS787" s="474"/>
      <c r="AT787" s="474"/>
      <c r="AU787" s="474"/>
      <c r="AV787" s="474"/>
      <c r="AW787" s="474"/>
      <c r="AX787" s="474"/>
      <c r="AY787" s="474"/>
      <c r="AZ787" s="474"/>
      <c r="BA787" s="474"/>
      <c r="BB787" s="474"/>
      <c r="BC787" s="474"/>
      <c r="BD787" s="474"/>
      <c r="BE787" s="474"/>
      <c r="BF787" s="474"/>
      <c r="BG787" s="474"/>
      <c r="BH787" s="474"/>
      <c r="BI787" s="474"/>
      <c r="BJ787" s="474"/>
      <c r="BK787" s="474"/>
      <c r="BL787" s="474"/>
      <c r="BM787" s="474"/>
      <c r="BN787" s="474"/>
      <c r="BO787" s="474"/>
      <c r="BP787" s="474"/>
      <c r="BQ787" s="474"/>
      <c r="BR787" s="474"/>
      <c r="BS787" s="474"/>
      <c r="BT787" s="474"/>
      <c r="BU787" s="474"/>
      <c r="BV787" s="474"/>
      <c r="BW787" s="474"/>
      <c r="BX787" s="474"/>
      <c r="BY787" s="474"/>
      <c r="BZ787" s="474"/>
      <c r="CA787" s="474"/>
      <c r="CB787" s="474"/>
      <c r="CC787" s="474"/>
      <c r="CD787" s="474"/>
      <c r="CE787" s="474"/>
      <c r="CF787" s="474"/>
      <c r="CG787" s="474"/>
      <c r="CH787" s="474"/>
      <c r="CI787" s="474"/>
      <c r="CJ787" s="474"/>
      <c r="CK787" s="474"/>
      <c r="CL787" s="474"/>
      <c r="CM787" s="474"/>
      <c r="CN787" s="474"/>
      <c r="CO787" s="474"/>
      <c r="CP787" s="474"/>
      <c r="CQ787" s="474"/>
      <c r="CR787" s="474"/>
      <c r="CS787" s="474"/>
      <c r="CT787" s="474"/>
      <c r="CU787" s="474"/>
      <c r="CV787" s="474"/>
      <c r="CW787" s="474"/>
      <c r="CX787" s="474"/>
      <c r="CY787" s="474"/>
    </row>
    <row r="788" spans="1:103" s="475" customFormat="1" ht="24" thickBot="1" x14ac:dyDescent="0.4">
      <c r="A788" s="473" t="s">
        <v>35</v>
      </c>
      <c r="B788" s="473" t="s">
        <v>1164</v>
      </c>
      <c r="C788" s="473"/>
      <c r="D788" s="473"/>
      <c r="E788" s="473"/>
      <c r="F788" s="473"/>
      <c r="G788" s="473"/>
      <c r="H788" s="476"/>
      <c r="I788" s="477"/>
      <c r="J788" s="474"/>
      <c r="K788" s="474"/>
      <c r="L788" s="474"/>
      <c r="M788" s="474"/>
      <c r="N788" s="474"/>
      <c r="O788" s="474"/>
      <c r="P788" s="474"/>
      <c r="Q788" s="474"/>
      <c r="R788" s="474"/>
      <c r="S788" s="474"/>
      <c r="T788" s="474"/>
      <c r="U788" s="474"/>
      <c r="V788" s="474"/>
      <c r="W788" s="474"/>
      <c r="X788" s="474"/>
      <c r="Y788" s="474"/>
      <c r="Z788" s="474"/>
      <c r="AA788" s="474"/>
      <c r="AB788" s="474"/>
      <c r="AC788" s="474"/>
      <c r="AD788" s="474"/>
      <c r="AE788" s="474"/>
      <c r="AF788" s="474"/>
      <c r="AG788" s="474"/>
      <c r="AH788" s="474"/>
      <c r="AI788" s="474"/>
      <c r="AJ788" s="474"/>
      <c r="AK788" s="474"/>
      <c r="AL788" s="474"/>
      <c r="AM788" s="474"/>
      <c r="AN788" s="474"/>
      <c r="AO788" s="474"/>
      <c r="AP788" s="474"/>
      <c r="AQ788" s="474"/>
      <c r="AR788" s="474"/>
      <c r="AS788" s="474"/>
      <c r="AT788" s="474"/>
      <c r="AU788" s="474"/>
      <c r="AV788" s="474"/>
      <c r="AW788" s="474"/>
      <c r="AX788" s="474"/>
      <c r="AY788" s="474"/>
      <c r="AZ788" s="474"/>
      <c r="BA788" s="474"/>
      <c r="BB788" s="474"/>
      <c r="BC788" s="474"/>
      <c r="BD788" s="474"/>
      <c r="BE788" s="474"/>
      <c r="BF788" s="474"/>
      <c r="BG788" s="474"/>
      <c r="BH788" s="474"/>
      <c r="BI788" s="474"/>
      <c r="BJ788" s="474"/>
      <c r="BK788" s="474"/>
      <c r="BL788" s="474"/>
      <c r="BM788" s="474"/>
      <c r="BN788" s="474"/>
      <c r="BO788" s="474"/>
      <c r="BP788" s="474"/>
      <c r="BQ788" s="474"/>
      <c r="BR788" s="474"/>
      <c r="BS788" s="474"/>
      <c r="BT788" s="474"/>
      <c r="BU788" s="474"/>
      <c r="BV788" s="474"/>
      <c r="BW788" s="474"/>
      <c r="BX788" s="474"/>
      <c r="BY788" s="474"/>
      <c r="BZ788" s="474"/>
      <c r="CA788" s="474"/>
      <c r="CB788" s="474"/>
      <c r="CC788" s="474"/>
      <c r="CD788" s="474"/>
      <c r="CE788" s="474"/>
      <c r="CF788" s="474"/>
      <c r="CG788" s="474"/>
      <c r="CH788" s="474"/>
      <c r="CI788" s="474"/>
      <c r="CJ788" s="474"/>
      <c r="CK788" s="474"/>
      <c r="CL788" s="474"/>
      <c r="CM788" s="474"/>
      <c r="CN788" s="474"/>
      <c r="CO788" s="474"/>
      <c r="CP788" s="474"/>
      <c r="CQ788" s="474"/>
      <c r="CR788" s="474"/>
      <c r="CS788" s="474"/>
      <c r="CT788" s="474"/>
      <c r="CU788" s="474"/>
      <c r="CV788" s="474"/>
      <c r="CW788" s="474"/>
      <c r="CX788" s="474"/>
      <c r="CY788" s="474"/>
    </row>
    <row r="789" spans="1:103" s="480" customFormat="1" ht="16.5" thickBot="1" x14ac:dyDescent="0.3">
      <c r="A789" s="478">
        <v>1</v>
      </c>
      <c r="B789" s="479" t="s">
        <v>1165</v>
      </c>
      <c r="C789" s="53" t="s">
        <v>676</v>
      </c>
      <c r="D789" s="53">
        <v>150000</v>
      </c>
      <c r="E789" s="53">
        <v>1</v>
      </c>
      <c r="F789" s="53">
        <v>1</v>
      </c>
      <c r="G789" s="54">
        <f t="shared" ref="G789:G799" si="30">D789*E789*F789</f>
        <v>150000</v>
      </c>
      <c r="L789" s="481"/>
    </row>
    <row r="790" spans="1:103" s="480" customFormat="1" ht="15.75" x14ac:dyDescent="0.25">
      <c r="A790" s="482"/>
      <c r="B790" s="482"/>
      <c r="C790" s="208" t="s">
        <v>1166</v>
      </c>
      <c r="D790" s="63"/>
      <c r="E790" s="63">
        <v>1</v>
      </c>
      <c r="F790" s="63">
        <v>5</v>
      </c>
      <c r="G790" s="64">
        <f t="shared" si="30"/>
        <v>0</v>
      </c>
    </row>
    <row r="791" spans="1:103" s="480" customFormat="1" ht="15.75" x14ac:dyDescent="0.25">
      <c r="A791" s="482"/>
      <c r="B791" s="482"/>
      <c r="C791" s="208" t="s">
        <v>1167</v>
      </c>
      <c r="D791" s="63"/>
      <c r="E791" s="63">
        <v>1</v>
      </c>
      <c r="F791" s="63">
        <v>5</v>
      </c>
      <c r="G791" s="64">
        <f t="shared" si="30"/>
        <v>0</v>
      </c>
    </row>
    <row r="792" spans="1:103" s="480" customFormat="1" ht="15.75" x14ac:dyDescent="0.25">
      <c r="A792" s="482"/>
      <c r="B792" s="482"/>
      <c r="C792" s="208" t="s">
        <v>1168</v>
      </c>
      <c r="D792" s="63"/>
      <c r="E792" s="63">
        <v>1</v>
      </c>
      <c r="F792" s="63">
        <v>5</v>
      </c>
      <c r="G792" s="64">
        <f t="shared" si="30"/>
        <v>0</v>
      </c>
    </row>
    <row r="793" spans="1:103" s="480" customFormat="1" ht="15.75" x14ac:dyDescent="0.25">
      <c r="A793" s="482"/>
      <c r="B793" s="482"/>
      <c r="C793" s="208" t="s">
        <v>1169</v>
      </c>
      <c r="D793" s="63"/>
      <c r="E793" s="63">
        <v>1</v>
      </c>
      <c r="F793" s="63">
        <v>5</v>
      </c>
      <c r="G793" s="64">
        <f t="shared" si="30"/>
        <v>0</v>
      </c>
    </row>
    <row r="794" spans="1:103" s="480" customFormat="1" ht="15.75" x14ac:dyDescent="0.25">
      <c r="A794" s="482"/>
      <c r="B794" s="482"/>
      <c r="C794" s="208" t="s">
        <v>1170</v>
      </c>
      <c r="D794" s="63"/>
      <c r="E794" s="63">
        <v>5</v>
      </c>
      <c r="F794" s="63">
        <v>5</v>
      </c>
      <c r="G794" s="64">
        <f t="shared" si="30"/>
        <v>0</v>
      </c>
    </row>
    <row r="795" spans="1:103" s="480" customFormat="1" ht="15.75" x14ac:dyDescent="0.25">
      <c r="A795" s="482"/>
      <c r="B795" s="482"/>
      <c r="C795" s="208" t="s">
        <v>1171</v>
      </c>
      <c r="D795" s="63"/>
      <c r="E795" s="63">
        <v>5</v>
      </c>
      <c r="F795" s="63">
        <v>5</v>
      </c>
      <c r="G795" s="64">
        <f t="shared" si="30"/>
        <v>0</v>
      </c>
    </row>
    <row r="796" spans="1:103" s="480" customFormat="1" ht="15.75" x14ac:dyDescent="0.25">
      <c r="A796" s="482"/>
      <c r="B796" s="482"/>
      <c r="C796" s="208" t="s">
        <v>1172</v>
      </c>
      <c r="D796" s="63"/>
      <c r="E796" s="63">
        <v>1</v>
      </c>
      <c r="F796" s="63">
        <v>5</v>
      </c>
      <c r="G796" s="64">
        <f t="shared" si="30"/>
        <v>0</v>
      </c>
    </row>
    <row r="797" spans="1:103" s="480" customFormat="1" ht="15.75" x14ac:dyDescent="0.25">
      <c r="A797" s="482"/>
      <c r="B797" s="482"/>
      <c r="C797" s="208" t="s">
        <v>1173</v>
      </c>
      <c r="D797" s="63"/>
      <c r="E797" s="63">
        <v>1</v>
      </c>
      <c r="F797" s="63">
        <v>5</v>
      </c>
      <c r="G797" s="64">
        <f t="shared" si="30"/>
        <v>0</v>
      </c>
    </row>
    <row r="798" spans="1:103" s="480" customFormat="1" ht="15.75" x14ac:dyDescent="0.25">
      <c r="A798" s="483"/>
      <c r="B798" s="483"/>
      <c r="C798" s="63" t="s">
        <v>1174</v>
      </c>
      <c r="D798" s="63"/>
      <c r="E798" s="63">
        <v>9</v>
      </c>
      <c r="F798" s="63">
        <v>5</v>
      </c>
      <c r="G798" s="64">
        <f t="shared" si="30"/>
        <v>0</v>
      </c>
    </row>
    <row r="799" spans="1:103" s="480" customFormat="1" ht="15.75" x14ac:dyDescent="0.25">
      <c r="A799" s="483"/>
      <c r="B799" s="483"/>
      <c r="C799" s="63" t="s">
        <v>1175</v>
      </c>
      <c r="D799" s="63"/>
      <c r="E799" s="63">
        <v>9</v>
      </c>
      <c r="F799" s="63">
        <v>5</v>
      </c>
      <c r="G799" s="64">
        <f t="shared" si="30"/>
        <v>0</v>
      </c>
    </row>
    <row r="800" spans="1:103" s="480" customFormat="1" ht="15.75" x14ac:dyDescent="0.25">
      <c r="A800" s="483"/>
      <c r="B800" s="483"/>
      <c r="C800" s="63"/>
      <c r="D800" s="63"/>
      <c r="E800" s="63"/>
      <c r="F800" s="63"/>
      <c r="G800" s="484"/>
    </row>
    <row r="801" spans="1:7" s="480" customFormat="1" ht="15.75" x14ac:dyDescent="0.25">
      <c r="A801" s="483"/>
      <c r="B801" s="483"/>
      <c r="C801" s="63" t="s">
        <v>655</v>
      </c>
      <c r="D801" s="63">
        <v>150000</v>
      </c>
      <c r="E801" s="63">
        <v>12</v>
      </c>
      <c r="F801" s="63">
        <v>6</v>
      </c>
      <c r="G801" s="64">
        <f>D801*E801*F801</f>
        <v>10800000</v>
      </c>
    </row>
    <row r="802" spans="1:7" s="480" customFormat="1" ht="15.75" x14ac:dyDescent="0.25">
      <c r="A802" s="483"/>
      <c r="B802" s="483"/>
      <c r="C802" s="63" t="s">
        <v>656</v>
      </c>
      <c r="D802" s="63">
        <v>100000</v>
      </c>
      <c r="E802" s="63">
        <f>E801</f>
        <v>12</v>
      </c>
      <c r="F802" s="63">
        <v>7</v>
      </c>
      <c r="G802" s="64">
        <f>D802*E802*F802</f>
        <v>8400000</v>
      </c>
    </row>
    <row r="803" spans="1:7" s="480" customFormat="1" ht="15.75" x14ac:dyDescent="0.25">
      <c r="A803" s="483"/>
      <c r="B803" s="483"/>
      <c r="C803" s="63"/>
      <c r="D803" s="63"/>
      <c r="E803" s="63"/>
      <c r="F803" s="63"/>
      <c r="G803" s="484"/>
    </row>
    <row r="804" spans="1:7" s="480" customFormat="1" ht="15.75" x14ac:dyDescent="0.25">
      <c r="A804" s="483"/>
      <c r="B804" s="483"/>
      <c r="C804" s="63" t="s">
        <v>659</v>
      </c>
      <c r="D804" s="63">
        <v>150000</v>
      </c>
      <c r="E804" s="63">
        <v>6</v>
      </c>
      <c r="F804" s="63">
        <v>7</v>
      </c>
      <c r="G804" s="64">
        <f>D804*E804*F804</f>
        <v>6300000</v>
      </c>
    </row>
    <row r="805" spans="1:7" s="480" customFormat="1" ht="15.75" x14ac:dyDescent="0.25">
      <c r="A805" s="483"/>
      <c r="B805" s="483"/>
      <c r="C805" s="63" t="s">
        <v>678</v>
      </c>
      <c r="D805" s="63">
        <v>100000</v>
      </c>
      <c r="E805" s="63">
        <v>6</v>
      </c>
      <c r="F805" s="63">
        <v>8</v>
      </c>
      <c r="G805" s="64">
        <f>D805*E805*F805</f>
        <v>4800000</v>
      </c>
    </row>
    <row r="806" spans="1:7" s="480" customFormat="1" ht="15.75" x14ac:dyDescent="0.25">
      <c r="A806" s="483"/>
      <c r="B806" s="483"/>
      <c r="C806" s="63"/>
      <c r="D806" s="63"/>
      <c r="E806" s="63"/>
      <c r="F806" s="63"/>
      <c r="G806" s="484"/>
    </row>
    <row r="807" spans="1:7" s="480" customFormat="1" ht="15.75" x14ac:dyDescent="0.25">
      <c r="A807" s="483"/>
      <c r="B807" s="483"/>
      <c r="C807" s="63" t="s">
        <v>663</v>
      </c>
      <c r="D807" s="63">
        <v>150000</v>
      </c>
      <c r="E807" s="63">
        <v>3</v>
      </c>
      <c r="F807" s="63">
        <v>7</v>
      </c>
      <c r="G807" s="64">
        <f>D807*E807*F807</f>
        <v>3150000</v>
      </c>
    </row>
    <row r="808" spans="1:7" s="480" customFormat="1" ht="15.75" x14ac:dyDescent="0.25">
      <c r="A808" s="483"/>
      <c r="B808" s="483"/>
      <c r="C808" s="63" t="s">
        <v>681</v>
      </c>
      <c r="D808" s="63">
        <f>D805</f>
        <v>100000</v>
      </c>
      <c r="E808" s="63">
        <f>E807</f>
        <v>3</v>
      </c>
      <c r="F808" s="63">
        <v>8</v>
      </c>
      <c r="G808" s="64">
        <f>D808*E808*F808</f>
        <v>2400000</v>
      </c>
    </row>
    <row r="809" spans="1:7" s="480" customFormat="1" ht="15.75" x14ac:dyDescent="0.25">
      <c r="A809" s="483"/>
      <c r="B809" s="483"/>
      <c r="C809" s="63"/>
      <c r="D809" s="63"/>
      <c r="E809" s="63"/>
      <c r="F809" s="63"/>
      <c r="G809" s="484"/>
    </row>
    <row r="810" spans="1:7" s="480" customFormat="1" ht="15.75" x14ac:dyDescent="0.25">
      <c r="A810" s="483"/>
      <c r="B810" s="483"/>
      <c r="C810" s="63" t="s">
        <v>1176</v>
      </c>
      <c r="D810" s="63">
        <v>150000</v>
      </c>
      <c r="E810" s="63">
        <v>1</v>
      </c>
      <c r="F810" s="63">
        <v>1</v>
      </c>
      <c r="G810" s="64">
        <f t="shared" ref="G810:G822" si="31">D810*E810*F810</f>
        <v>150000</v>
      </c>
    </row>
    <row r="811" spans="1:7" s="480" customFormat="1" ht="15.75" x14ac:dyDescent="0.25">
      <c r="A811" s="483"/>
      <c r="B811" s="483"/>
      <c r="C811" s="63" t="s">
        <v>1177</v>
      </c>
      <c r="D811" s="63">
        <f>D808</f>
        <v>100000</v>
      </c>
      <c r="E811" s="63">
        <v>1</v>
      </c>
      <c r="F811" s="63">
        <v>1</v>
      </c>
      <c r="G811" s="64">
        <f t="shared" si="31"/>
        <v>100000</v>
      </c>
    </row>
    <row r="812" spans="1:7" s="480" customFormat="1" ht="15.75" x14ac:dyDescent="0.25">
      <c r="A812" s="485"/>
      <c r="B812" s="486"/>
      <c r="C812" s="63" t="s">
        <v>1178</v>
      </c>
      <c r="D812" s="487">
        <v>130000</v>
      </c>
      <c r="E812" s="63">
        <v>3</v>
      </c>
      <c r="F812" s="63">
        <v>2</v>
      </c>
      <c r="G812" s="64">
        <f t="shared" si="31"/>
        <v>780000</v>
      </c>
    </row>
    <row r="813" spans="1:7" s="480" customFormat="1" ht="15.75" x14ac:dyDescent="0.25">
      <c r="A813" s="483"/>
      <c r="B813" s="483"/>
      <c r="C813" s="63" t="s">
        <v>1179</v>
      </c>
      <c r="D813" s="487">
        <v>170000</v>
      </c>
      <c r="E813" s="63">
        <v>3</v>
      </c>
      <c r="F813" s="63">
        <v>2</v>
      </c>
      <c r="G813" s="64">
        <f t="shared" si="31"/>
        <v>1020000</v>
      </c>
    </row>
    <row r="814" spans="1:7" s="480" customFormat="1" ht="15.75" x14ac:dyDescent="0.25">
      <c r="A814" s="483"/>
      <c r="B814" s="483"/>
      <c r="C814" s="63" t="s">
        <v>1180</v>
      </c>
      <c r="D814" s="487">
        <v>230000</v>
      </c>
      <c r="E814" s="63">
        <v>3</v>
      </c>
      <c r="F814" s="63">
        <v>2</v>
      </c>
      <c r="G814" s="64">
        <f t="shared" si="31"/>
        <v>1380000</v>
      </c>
    </row>
    <row r="815" spans="1:7" s="480" customFormat="1" ht="15.75" x14ac:dyDescent="0.25">
      <c r="A815" s="483"/>
      <c r="B815" s="483"/>
      <c r="C815" s="63" t="s">
        <v>1181</v>
      </c>
      <c r="D815" s="487">
        <v>130000</v>
      </c>
      <c r="E815" s="63">
        <v>3</v>
      </c>
      <c r="F815" s="63">
        <v>2</v>
      </c>
      <c r="G815" s="64">
        <f t="shared" si="31"/>
        <v>780000</v>
      </c>
    </row>
    <row r="816" spans="1:7" s="480" customFormat="1" ht="15.75" x14ac:dyDescent="0.25">
      <c r="A816" s="483"/>
      <c r="B816" s="483"/>
      <c r="C816" s="63" t="s">
        <v>1182</v>
      </c>
      <c r="D816" s="487">
        <v>300000</v>
      </c>
      <c r="E816" s="63">
        <v>3</v>
      </c>
      <c r="F816" s="63">
        <v>2</v>
      </c>
      <c r="G816" s="64">
        <f t="shared" si="31"/>
        <v>1800000</v>
      </c>
    </row>
    <row r="817" spans="1:8" s="480" customFormat="1" ht="15.75" x14ac:dyDescent="0.25">
      <c r="A817" s="483"/>
      <c r="B817" s="483"/>
      <c r="C817" s="63" t="s">
        <v>1183</v>
      </c>
      <c r="D817" s="487">
        <v>250000</v>
      </c>
      <c r="E817" s="63">
        <v>3</v>
      </c>
      <c r="F817" s="63">
        <v>2</v>
      </c>
      <c r="G817" s="64">
        <f t="shared" si="31"/>
        <v>1500000</v>
      </c>
    </row>
    <row r="818" spans="1:8" s="480" customFormat="1" ht="15.75" x14ac:dyDescent="0.25">
      <c r="A818" s="483"/>
      <c r="B818" s="483"/>
      <c r="C818" s="63" t="s">
        <v>1184</v>
      </c>
      <c r="D818" s="487">
        <v>270000</v>
      </c>
      <c r="E818" s="63">
        <v>3</v>
      </c>
      <c r="F818" s="63">
        <v>2</v>
      </c>
      <c r="G818" s="64">
        <f t="shared" si="31"/>
        <v>1620000</v>
      </c>
    </row>
    <row r="819" spans="1:8" s="480" customFormat="1" ht="15.75" x14ac:dyDescent="0.25">
      <c r="A819" s="483"/>
      <c r="B819" s="483"/>
      <c r="C819" s="63" t="s">
        <v>1185</v>
      </c>
      <c r="D819" s="487">
        <v>75000</v>
      </c>
      <c r="E819" s="63">
        <v>1</v>
      </c>
      <c r="F819" s="63">
        <v>2</v>
      </c>
      <c r="G819" s="64">
        <f t="shared" si="31"/>
        <v>150000</v>
      </c>
    </row>
    <row r="820" spans="1:8" s="480" customFormat="1" ht="15.75" x14ac:dyDescent="0.25">
      <c r="A820" s="483"/>
      <c r="B820" s="483"/>
      <c r="C820" s="63" t="s">
        <v>1186</v>
      </c>
      <c r="D820" s="487">
        <v>75000</v>
      </c>
      <c r="E820" s="63">
        <v>1</v>
      </c>
      <c r="F820" s="63">
        <v>5</v>
      </c>
      <c r="G820" s="64">
        <f t="shared" si="31"/>
        <v>375000</v>
      </c>
    </row>
    <row r="821" spans="1:8" s="480" customFormat="1" ht="15.75" x14ac:dyDescent="0.25">
      <c r="A821" s="483"/>
      <c r="B821" s="483"/>
      <c r="C821" s="208" t="s">
        <v>1187</v>
      </c>
      <c r="D821" s="63">
        <v>2500000</v>
      </c>
      <c r="E821" s="63">
        <v>1</v>
      </c>
      <c r="F821" s="63">
        <v>5</v>
      </c>
      <c r="G821" s="64">
        <f t="shared" si="31"/>
        <v>12500000</v>
      </c>
    </row>
    <row r="822" spans="1:8" s="480" customFormat="1" ht="15.75" x14ac:dyDescent="0.25">
      <c r="A822" s="66"/>
      <c r="B822" s="70"/>
      <c r="C822" s="208" t="s">
        <v>97</v>
      </c>
      <c r="D822" s="63">
        <v>20000</v>
      </c>
      <c r="E822" s="63">
        <v>37</v>
      </c>
      <c r="F822" s="63">
        <v>5</v>
      </c>
      <c r="G822" s="64">
        <f t="shared" si="31"/>
        <v>3700000</v>
      </c>
    </row>
    <row r="823" spans="1:8" s="480" customFormat="1" ht="15.75" x14ac:dyDescent="0.25">
      <c r="A823" s="483"/>
      <c r="B823" s="483"/>
      <c r="C823" s="63" t="s">
        <v>60</v>
      </c>
      <c r="D823" s="63">
        <v>20000</v>
      </c>
      <c r="E823" s="63">
        <v>37</v>
      </c>
      <c r="F823" s="63">
        <v>5</v>
      </c>
      <c r="G823" s="64">
        <f>F823*E823*D823</f>
        <v>3700000</v>
      </c>
    </row>
    <row r="824" spans="1:8" s="480" customFormat="1" ht="15.75" x14ac:dyDescent="0.25">
      <c r="A824" s="483"/>
      <c r="B824" s="483"/>
      <c r="C824" s="63" t="s">
        <v>1188</v>
      </c>
      <c r="D824" s="63">
        <v>50000</v>
      </c>
      <c r="E824" s="63">
        <v>50</v>
      </c>
      <c r="F824" s="63">
        <v>1</v>
      </c>
      <c r="G824" s="64">
        <f>E824*D824</f>
        <v>2500000</v>
      </c>
    </row>
    <row r="825" spans="1:8" s="480" customFormat="1" ht="15.75" x14ac:dyDescent="0.25">
      <c r="A825" s="483"/>
      <c r="B825" s="483"/>
      <c r="C825" s="63" t="s">
        <v>1189</v>
      </c>
      <c r="D825" s="72">
        <v>40000</v>
      </c>
      <c r="E825" s="72">
        <v>7</v>
      </c>
      <c r="F825" s="72">
        <v>5</v>
      </c>
      <c r="G825" s="403">
        <f>F825*E825*D825</f>
        <v>1400000</v>
      </c>
    </row>
    <row r="826" spans="1:8" s="480" customFormat="1" ht="16.5" thickBot="1" x14ac:dyDescent="0.3">
      <c r="A826" s="483"/>
      <c r="B826" s="483"/>
      <c r="C826" s="63" t="s">
        <v>98</v>
      </c>
      <c r="D826" s="63">
        <v>400000</v>
      </c>
      <c r="E826" s="63">
        <v>1</v>
      </c>
      <c r="F826" s="63">
        <v>1</v>
      </c>
      <c r="G826" s="64">
        <f>E826*D826</f>
        <v>400000</v>
      </c>
    </row>
    <row r="827" spans="1:8" s="480" customFormat="1" ht="19.5" thickBot="1" x14ac:dyDescent="0.35">
      <c r="A827" s="483"/>
      <c r="B827" s="483"/>
      <c r="C827" s="72" t="s">
        <v>140</v>
      </c>
      <c r="D827" s="72"/>
      <c r="E827" s="72"/>
      <c r="F827" s="72"/>
      <c r="G827" s="73">
        <f>SUM(G789:G826)</f>
        <v>69855000</v>
      </c>
      <c r="H827" s="488">
        <f>G827/8136</f>
        <v>8585.9144542772865</v>
      </c>
    </row>
    <row r="828" spans="1:8" s="480" customFormat="1" ht="16.5" thickBot="1" x14ac:dyDescent="0.3">
      <c r="A828" s="483"/>
      <c r="B828" s="483"/>
      <c r="C828" s="63"/>
      <c r="D828" s="63"/>
      <c r="E828" s="63"/>
      <c r="F828" s="63"/>
      <c r="G828" s="64"/>
    </row>
    <row r="829" spans="1:8" s="491" customFormat="1" ht="16.5" thickBot="1" x14ac:dyDescent="0.3">
      <c r="A829" s="489">
        <v>2</v>
      </c>
      <c r="B829" s="490" t="s">
        <v>1190</v>
      </c>
      <c r="C829" s="53" t="s">
        <v>1191</v>
      </c>
      <c r="D829" s="53">
        <v>150000</v>
      </c>
      <c r="E829" s="53">
        <v>1</v>
      </c>
      <c r="F829" s="53">
        <v>1</v>
      </c>
      <c r="G829" s="54">
        <f t="shared" ref="G829:G834" si="32">D829*E829*F829</f>
        <v>150000</v>
      </c>
    </row>
    <row r="830" spans="1:8" s="491" customFormat="1" ht="15.75" x14ac:dyDescent="0.25">
      <c r="A830" s="492"/>
      <c r="B830" s="492"/>
      <c r="C830" s="208" t="s">
        <v>1166</v>
      </c>
      <c r="D830" s="63"/>
      <c r="E830" s="63">
        <v>1</v>
      </c>
      <c r="F830" s="63">
        <v>5</v>
      </c>
      <c r="G830" s="64">
        <f t="shared" si="32"/>
        <v>0</v>
      </c>
    </row>
    <row r="831" spans="1:8" s="491" customFormat="1" ht="15.75" x14ac:dyDescent="0.25">
      <c r="A831" s="492"/>
      <c r="B831" s="492"/>
      <c r="C831" s="208" t="s">
        <v>1168</v>
      </c>
      <c r="D831" s="63"/>
      <c r="E831" s="63">
        <v>1</v>
      </c>
      <c r="F831" s="63">
        <v>5</v>
      </c>
      <c r="G831" s="64">
        <f t="shared" si="32"/>
        <v>0</v>
      </c>
    </row>
    <row r="832" spans="1:8" s="491" customFormat="1" ht="15.75" x14ac:dyDescent="0.25">
      <c r="A832" s="492"/>
      <c r="B832" s="492"/>
      <c r="C832" s="208" t="s">
        <v>1170</v>
      </c>
      <c r="D832" s="63"/>
      <c r="E832" s="63">
        <v>5</v>
      </c>
      <c r="F832" s="63">
        <v>5</v>
      </c>
      <c r="G832" s="64">
        <f t="shared" si="32"/>
        <v>0</v>
      </c>
    </row>
    <row r="833" spans="1:9" s="491" customFormat="1" ht="15.75" x14ac:dyDescent="0.25">
      <c r="A833" s="492"/>
      <c r="B833" s="492"/>
      <c r="C833" s="208" t="s">
        <v>1172</v>
      </c>
      <c r="D833" s="63"/>
      <c r="E833" s="63">
        <v>1</v>
      </c>
      <c r="F833" s="63">
        <v>5</v>
      </c>
      <c r="G833" s="64">
        <f t="shared" si="32"/>
        <v>0</v>
      </c>
    </row>
    <row r="834" spans="1:9" s="491" customFormat="1" ht="15.75" x14ac:dyDescent="0.25">
      <c r="A834" s="493"/>
      <c r="B834" s="493"/>
      <c r="C834" s="63" t="s">
        <v>1192</v>
      </c>
      <c r="D834" s="63"/>
      <c r="E834" s="63">
        <v>12</v>
      </c>
      <c r="F834" s="63">
        <v>5</v>
      </c>
      <c r="G834" s="64">
        <f t="shared" si="32"/>
        <v>0</v>
      </c>
    </row>
    <row r="835" spans="1:9" s="491" customFormat="1" ht="15.75" x14ac:dyDescent="0.25">
      <c r="A835" s="493"/>
      <c r="B835" s="493"/>
      <c r="C835" s="63"/>
      <c r="D835" s="63"/>
      <c r="E835" s="63"/>
      <c r="F835" s="63"/>
      <c r="G835" s="64"/>
    </row>
    <row r="836" spans="1:9" s="491" customFormat="1" ht="15.75" x14ac:dyDescent="0.25">
      <c r="A836" s="493"/>
      <c r="B836" s="493"/>
      <c r="C836" s="63" t="s">
        <v>1193</v>
      </c>
      <c r="D836" s="63">
        <v>150000</v>
      </c>
      <c r="E836" s="63">
        <v>18</v>
      </c>
      <c r="F836" s="63">
        <v>6</v>
      </c>
      <c r="G836" s="64">
        <f>D836*E836*F836</f>
        <v>16200000</v>
      </c>
    </row>
    <row r="837" spans="1:9" s="491" customFormat="1" ht="15.75" x14ac:dyDescent="0.25">
      <c r="A837" s="493"/>
      <c r="B837" s="493"/>
      <c r="C837" s="63" t="s">
        <v>1194</v>
      </c>
      <c r="D837" s="63">
        <v>100000</v>
      </c>
      <c r="E837" s="63">
        <v>18</v>
      </c>
      <c r="F837" s="63">
        <v>7</v>
      </c>
      <c r="G837" s="64">
        <f>D837*E837*F837</f>
        <v>12600000</v>
      </c>
    </row>
    <row r="838" spans="1:9" s="491" customFormat="1" ht="15.75" x14ac:dyDescent="0.25">
      <c r="A838" s="493"/>
      <c r="B838" s="493"/>
      <c r="C838" s="63"/>
      <c r="D838" s="63"/>
      <c r="E838" s="63"/>
      <c r="F838" s="63"/>
      <c r="G838" s="64"/>
    </row>
    <row r="839" spans="1:9" s="491" customFormat="1" ht="15.75" x14ac:dyDescent="0.25">
      <c r="A839" s="493"/>
      <c r="B839" s="493"/>
      <c r="C839" s="63" t="s">
        <v>1195</v>
      </c>
      <c r="D839" s="63">
        <v>150000</v>
      </c>
      <c r="E839" s="63">
        <v>2</v>
      </c>
      <c r="F839" s="63">
        <v>7</v>
      </c>
      <c r="G839" s="64">
        <f>D839*E839*F839</f>
        <v>2100000</v>
      </c>
    </row>
    <row r="840" spans="1:9" s="491" customFormat="1" ht="15.75" x14ac:dyDescent="0.25">
      <c r="A840" s="493"/>
      <c r="B840" s="493"/>
      <c r="C840" s="63" t="s">
        <v>1196</v>
      </c>
      <c r="D840" s="63">
        <v>100000</v>
      </c>
      <c r="E840" s="63">
        <v>2</v>
      </c>
      <c r="F840" s="63">
        <v>8</v>
      </c>
      <c r="G840" s="64">
        <f>D840*E840*F840</f>
        <v>1600000</v>
      </c>
    </row>
    <row r="841" spans="1:9" s="491" customFormat="1" ht="15.75" x14ac:dyDescent="0.25">
      <c r="A841" s="493"/>
      <c r="B841" s="493"/>
      <c r="C841" s="63"/>
      <c r="D841" s="63"/>
      <c r="E841" s="63"/>
      <c r="F841" s="63"/>
      <c r="G841" s="64"/>
      <c r="I841" s="494">
        <f>H827+H857</f>
        <v>16235.373647984268</v>
      </c>
    </row>
    <row r="842" spans="1:9" s="491" customFormat="1" ht="15.75" x14ac:dyDescent="0.25">
      <c r="A842" s="493"/>
      <c r="B842" s="493"/>
      <c r="C842" s="63" t="s">
        <v>1197</v>
      </c>
      <c r="D842" s="487">
        <v>50000</v>
      </c>
      <c r="E842" s="63">
        <v>2</v>
      </c>
      <c r="F842" s="63">
        <v>2</v>
      </c>
      <c r="G842" s="64">
        <f t="shared" ref="G842:G848" si="33">D842*E842*F842</f>
        <v>200000</v>
      </c>
    </row>
    <row r="843" spans="1:9" s="491" customFormat="1" ht="15.75" x14ac:dyDescent="0.25">
      <c r="A843" s="493"/>
      <c r="B843" s="493"/>
      <c r="C843" s="63" t="s">
        <v>1198</v>
      </c>
      <c r="D843" s="487">
        <v>70000</v>
      </c>
      <c r="E843" s="63">
        <v>2</v>
      </c>
      <c r="F843" s="63">
        <v>2</v>
      </c>
      <c r="G843" s="64">
        <f t="shared" si="33"/>
        <v>280000</v>
      </c>
    </row>
    <row r="844" spans="1:9" s="496" customFormat="1" ht="15.75" x14ac:dyDescent="0.25">
      <c r="A844" s="495"/>
      <c r="B844" s="495"/>
      <c r="C844" s="63" t="s">
        <v>1199</v>
      </c>
      <c r="D844" s="487">
        <v>90000</v>
      </c>
      <c r="E844" s="63">
        <v>2</v>
      </c>
      <c r="F844" s="63">
        <v>2</v>
      </c>
      <c r="G844" s="64">
        <f t="shared" si="33"/>
        <v>360000</v>
      </c>
    </row>
    <row r="845" spans="1:9" s="496" customFormat="1" ht="15.75" x14ac:dyDescent="0.25">
      <c r="A845" s="495"/>
      <c r="B845" s="495"/>
      <c r="C845" s="63" t="s">
        <v>1200</v>
      </c>
      <c r="D845" s="487">
        <v>150000</v>
      </c>
      <c r="E845" s="63">
        <v>2</v>
      </c>
      <c r="F845" s="63">
        <v>2</v>
      </c>
      <c r="G845" s="64">
        <f t="shared" si="33"/>
        <v>600000</v>
      </c>
    </row>
    <row r="846" spans="1:9" s="496" customFormat="1" ht="15.75" x14ac:dyDescent="0.25">
      <c r="A846" s="495"/>
      <c r="B846" s="495"/>
      <c r="C846" s="63" t="s">
        <v>1201</v>
      </c>
      <c r="D846" s="487">
        <v>250000</v>
      </c>
      <c r="E846" s="63">
        <v>2</v>
      </c>
      <c r="F846" s="63">
        <v>2</v>
      </c>
      <c r="G846" s="64">
        <f t="shared" si="33"/>
        <v>1000000</v>
      </c>
    </row>
    <row r="847" spans="1:9" s="496" customFormat="1" ht="15.75" x14ac:dyDescent="0.25">
      <c r="A847" s="495"/>
      <c r="B847" s="495"/>
      <c r="C847" s="63" t="s">
        <v>1202</v>
      </c>
      <c r="D847" s="487">
        <v>220000</v>
      </c>
      <c r="E847" s="63">
        <v>2</v>
      </c>
      <c r="F847" s="63">
        <v>2</v>
      </c>
      <c r="G847" s="64">
        <f t="shared" si="33"/>
        <v>880000</v>
      </c>
    </row>
    <row r="848" spans="1:9" s="496" customFormat="1" ht="15.75" x14ac:dyDescent="0.25">
      <c r="A848" s="495"/>
      <c r="B848" s="495"/>
      <c r="C848" s="63" t="s">
        <v>1203</v>
      </c>
      <c r="D848" s="487">
        <v>250000</v>
      </c>
      <c r="E848" s="63">
        <v>2</v>
      </c>
      <c r="F848" s="63">
        <v>2</v>
      </c>
      <c r="G848" s="64">
        <f t="shared" si="33"/>
        <v>1000000</v>
      </c>
    </row>
    <row r="849" spans="1:9" s="496" customFormat="1" ht="15.75" x14ac:dyDescent="0.25">
      <c r="A849" s="495"/>
      <c r="B849" s="495"/>
      <c r="C849" s="63"/>
      <c r="D849" s="487"/>
      <c r="E849" s="63"/>
      <c r="F849" s="63"/>
      <c r="G849" s="64"/>
    </row>
    <row r="850" spans="1:9" s="496" customFormat="1" ht="15.75" x14ac:dyDescent="0.25">
      <c r="A850" s="495"/>
      <c r="B850" s="495"/>
      <c r="C850" s="63" t="s">
        <v>1204</v>
      </c>
      <c r="D850" s="487">
        <v>8000</v>
      </c>
      <c r="E850" s="63">
        <v>22</v>
      </c>
      <c r="F850" s="63">
        <v>2</v>
      </c>
      <c r="G850" s="64">
        <f>D850*E850*F850</f>
        <v>352000</v>
      </c>
    </row>
    <row r="851" spans="1:9" s="496" customFormat="1" ht="15.75" x14ac:dyDescent="0.25">
      <c r="A851" s="495"/>
      <c r="B851" s="495"/>
      <c r="C851" s="208" t="s">
        <v>1187</v>
      </c>
      <c r="D851" s="63">
        <v>2500000</v>
      </c>
      <c r="E851" s="63">
        <v>1</v>
      </c>
      <c r="F851" s="63">
        <v>5</v>
      </c>
      <c r="G851" s="64">
        <f>D851*E851*F851</f>
        <v>12500000</v>
      </c>
    </row>
    <row r="852" spans="1:9" s="496" customFormat="1" ht="15.75" x14ac:dyDescent="0.25">
      <c r="A852" s="497"/>
      <c r="B852" s="498"/>
      <c r="C852" s="208" t="s">
        <v>97</v>
      </c>
      <c r="D852" s="63">
        <v>20000</v>
      </c>
      <c r="E852" s="63">
        <v>40</v>
      </c>
      <c r="F852" s="63">
        <v>5</v>
      </c>
      <c r="G852" s="64">
        <f>D852*E852*F852</f>
        <v>4000000</v>
      </c>
    </row>
    <row r="853" spans="1:9" s="496" customFormat="1" ht="15.75" x14ac:dyDescent="0.25">
      <c r="A853" s="495"/>
      <c r="B853" s="495"/>
      <c r="C853" s="63" t="s">
        <v>60</v>
      </c>
      <c r="D853" s="63">
        <v>20000</v>
      </c>
      <c r="E853" s="63">
        <v>40</v>
      </c>
      <c r="F853" s="63">
        <v>5</v>
      </c>
      <c r="G853" s="64">
        <f>F853*E853*D853</f>
        <v>4000000</v>
      </c>
    </row>
    <row r="854" spans="1:9" s="496" customFormat="1" ht="15.75" x14ac:dyDescent="0.25">
      <c r="A854" s="495"/>
      <c r="B854" s="495"/>
      <c r="C854" s="63" t="s">
        <v>139</v>
      </c>
      <c r="D854" s="63">
        <v>200</v>
      </c>
      <c r="E854" s="63">
        <v>40</v>
      </c>
      <c r="F854" s="63">
        <v>33</v>
      </c>
      <c r="G854" s="64">
        <f>F854*E854*D854</f>
        <v>264000</v>
      </c>
    </row>
    <row r="855" spans="1:9" s="496" customFormat="1" ht="15.75" x14ac:dyDescent="0.25">
      <c r="A855" s="495"/>
      <c r="B855" s="495"/>
      <c r="C855" s="63" t="s">
        <v>1189</v>
      </c>
      <c r="D855" s="72">
        <v>40000</v>
      </c>
      <c r="E855" s="72">
        <v>7</v>
      </c>
      <c r="F855" s="72">
        <v>5</v>
      </c>
      <c r="G855" s="403">
        <f>F855*E855*D855</f>
        <v>1400000</v>
      </c>
    </row>
    <row r="856" spans="1:9" s="496" customFormat="1" ht="16.5" thickBot="1" x14ac:dyDescent="0.3">
      <c r="A856" s="495"/>
      <c r="B856" s="495"/>
      <c r="C856" s="63" t="s">
        <v>1188</v>
      </c>
      <c r="D856" s="63">
        <v>50000</v>
      </c>
      <c r="E856" s="63">
        <v>55</v>
      </c>
      <c r="F856" s="63">
        <v>1</v>
      </c>
      <c r="G856" s="64">
        <f>E856*D856</f>
        <v>2750000</v>
      </c>
    </row>
    <row r="857" spans="1:9" s="496" customFormat="1" ht="19.5" thickBot="1" x14ac:dyDescent="0.35">
      <c r="A857" s="495"/>
      <c r="B857" s="495"/>
      <c r="C857" s="72" t="s">
        <v>140</v>
      </c>
      <c r="D857" s="72"/>
      <c r="E857" s="72"/>
      <c r="F857" s="72"/>
      <c r="G857" s="499">
        <f>SUM(G829:G856)</f>
        <v>62236000</v>
      </c>
      <c r="H857" s="500">
        <f>G857/8136</f>
        <v>7649.4591937069818</v>
      </c>
    </row>
    <row r="858" spans="1:9" s="480" customFormat="1" ht="16.5" thickBot="1" x14ac:dyDescent="0.3">
      <c r="A858" s="483"/>
      <c r="B858" s="483"/>
      <c r="C858" s="483"/>
      <c r="D858" s="483"/>
      <c r="E858" s="483"/>
      <c r="F858" s="483"/>
      <c r="G858" s="501"/>
      <c r="H858" s="481"/>
    </row>
    <row r="859" spans="1:9" s="507" customFormat="1" ht="21.75" thickBot="1" x14ac:dyDescent="0.3">
      <c r="A859" s="502" t="s">
        <v>65</v>
      </c>
      <c r="B859" s="503" t="s">
        <v>1205</v>
      </c>
      <c r="C859" s="504"/>
      <c r="D859" s="774"/>
      <c r="E859" s="774"/>
      <c r="F859" s="774"/>
      <c r="G859" s="505"/>
      <c r="H859" s="506"/>
    </row>
    <row r="860" spans="1:9" s="507" customFormat="1" ht="21" x14ac:dyDescent="0.25">
      <c r="A860" s="508"/>
      <c r="B860" s="509">
        <v>1</v>
      </c>
      <c r="C860" s="510" t="s">
        <v>1206</v>
      </c>
      <c r="D860" s="511"/>
      <c r="E860" s="511"/>
      <c r="F860" s="511"/>
      <c r="G860" s="512">
        <v>95148</v>
      </c>
      <c r="H860" s="513">
        <f>G860</f>
        <v>95148</v>
      </c>
      <c r="I860" s="506"/>
    </row>
    <row r="861" spans="1:9" s="507" customFormat="1" ht="21" x14ac:dyDescent="0.25">
      <c r="A861" s="508"/>
      <c r="B861" s="509">
        <v>2</v>
      </c>
      <c r="C861" s="510" t="s">
        <v>1207</v>
      </c>
      <c r="D861" s="511"/>
      <c r="E861" s="511"/>
      <c r="F861" s="511"/>
      <c r="G861" s="512">
        <v>59626.953990562644</v>
      </c>
      <c r="H861" s="514">
        <f>G861</f>
        <v>59626.953990562644</v>
      </c>
    </row>
    <row r="862" spans="1:9" s="480" customFormat="1" ht="16.5" thickBot="1" x14ac:dyDescent="0.3">
      <c r="A862" s="483"/>
      <c r="B862" s="515"/>
      <c r="C862" s="516"/>
      <c r="D862" s="516"/>
      <c r="E862" s="516"/>
      <c r="F862" s="516"/>
      <c r="G862" s="517">
        <f>G860+G861</f>
        <v>154774.95399056264</v>
      </c>
      <c r="H862" s="518">
        <f>G862</f>
        <v>154774.95399056264</v>
      </c>
    </row>
    <row r="866" spans="1:10" s="525" customFormat="1" ht="18.75" x14ac:dyDescent="0.25">
      <c r="A866" s="524"/>
      <c r="G866" s="526" t="s">
        <v>1160</v>
      </c>
      <c r="H866" s="527">
        <f>H862+H857+H827+H784+H782+H4</f>
        <v>473574.92417083145</v>
      </c>
    </row>
    <row r="869" spans="1:10" x14ac:dyDescent="0.25">
      <c r="A869" s="57"/>
      <c r="G869" s="520"/>
      <c r="H869" s="57"/>
      <c r="I869" s="57"/>
      <c r="J869" s="57"/>
    </row>
  </sheetData>
  <mergeCells count="13">
    <mergeCell ref="D859:F859"/>
    <mergeCell ref="B704:B717"/>
    <mergeCell ref="B744:B745"/>
    <mergeCell ref="B746:B759"/>
    <mergeCell ref="A783:C783"/>
    <mergeCell ref="C784:F784"/>
    <mergeCell ref="A786:C786"/>
    <mergeCell ref="B702:B703"/>
    <mergeCell ref="A1:E1"/>
    <mergeCell ref="A2:C2"/>
    <mergeCell ref="B41:C41"/>
    <mergeCell ref="B657:B658"/>
    <mergeCell ref="B660:B67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894"/>
  <sheetViews>
    <sheetView topLeftCell="A619" zoomScale="86" zoomScaleNormal="86" workbookViewId="0">
      <selection activeCell="H642" sqref="H642"/>
    </sheetView>
  </sheetViews>
  <sheetFormatPr defaultColWidth="9.140625" defaultRowHeight="15.75" x14ac:dyDescent="0.25"/>
  <cols>
    <col min="1" max="1" width="11.85546875" style="593" customWidth="1"/>
    <col min="2" max="2" width="42.7109375" style="593" customWidth="1"/>
    <col min="3" max="3" width="54.85546875" style="593" customWidth="1"/>
    <col min="4" max="6" width="17.140625" style="593" customWidth="1"/>
    <col min="7" max="7" width="19.85546875" style="738" customWidth="1"/>
    <col min="8" max="8" width="21.28515625" style="593" customWidth="1"/>
    <col min="9" max="9" width="23.7109375" style="593" customWidth="1"/>
    <col min="10" max="16384" width="9.140625" style="593"/>
  </cols>
  <sheetData>
    <row r="1" spans="1:8" s="528" customFormat="1" x14ac:dyDescent="0.25">
      <c r="E1" s="529"/>
      <c r="F1" s="739" t="s">
        <v>34</v>
      </c>
      <c r="G1" s="740">
        <v>8136</v>
      </c>
      <c r="H1" s="530"/>
    </row>
    <row r="2" spans="1:8" s="531" customFormat="1" ht="18.75" x14ac:dyDescent="0.25">
      <c r="B2" s="531" t="s">
        <v>6</v>
      </c>
      <c r="F2" s="532"/>
      <c r="G2" s="533"/>
      <c r="H2" s="534"/>
    </row>
    <row r="3" spans="1:8" s="531" customFormat="1" ht="19.5" thickBot="1" x14ac:dyDescent="0.3">
      <c r="A3" s="531" t="s">
        <v>1208</v>
      </c>
      <c r="B3" s="531" t="s">
        <v>7</v>
      </c>
      <c r="F3" s="532"/>
      <c r="G3" s="533"/>
      <c r="H3" s="534"/>
    </row>
    <row r="4" spans="1:8" s="112" customFormat="1" x14ac:dyDescent="0.25">
      <c r="A4" s="318" t="s">
        <v>1208</v>
      </c>
      <c r="B4" s="535" t="s">
        <v>1209</v>
      </c>
      <c r="C4" s="535"/>
      <c r="D4" s="535"/>
      <c r="E4" s="535"/>
      <c r="F4" s="535"/>
      <c r="G4" s="536"/>
    </row>
    <row r="5" spans="1:8" s="539" customFormat="1" ht="16.5" thickBot="1" x14ac:dyDescent="0.3">
      <c r="A5" s="321"/>
      <c r="B5" s="537"/>
      <c r="C5" s="537"/>
      <c r="D5" s="328"/>
      <c r="E5" s="328"/>
      <c r="F5" s="323"/>
      <c r="G5" s="538"/>
      <c r="H5" s="290"/>
    </row>
    <row r="6" spans="1:8" s="528" customFormat="1" ht="32.25" thickBot="1" x14ac:dyDescent="0.3">
      <c r="A6" s="540" t="s">
        <v>734</v>
      </c>
      <c r="B6" s="541" t="s">
        <v>735</v>
      </c>
      <c r="C6" s="541" t="s">
        <v>736</v>
      </c>
      <c r="D6" s="541" t="s">
        <v>737</v>
      </c>
      <c r="E6" s="541" t="s">
        <v>738</v>
      </c>
      <c r="F6" s="541" t="s">
        <v>739</v>
      </c>
      <c r="G6" s="542" t="s">
        <v>740</v>
      </c>
      <c r="H6" s="530"/>
    </row>
    <row r="7" spans="1:8" s="546" customFormat="1" ht="31.5" x14ac:dyDescent="0.25">
      <c r="A7" s="543">
        <v>1</v>
      </c>
      <c r="B7" s="544" t="s">
        <v>1210</v>
      </c>
      <c r="C7" s="319" t="s">
        <v>39</v>
      </c>
      <c r="D7" s="319">
        <v>150000</v>
      </c>
      <c r="E7" s="319">
        <v>1</v>
      </c>
      <c r="F7" s="319">
        <v>1</v>
      </c>
      <c r="G7" s="545">
        <f>D7*E7*F7</f>
        <v>150000</v>
      </c>
      <c r="H7" s="112"/>
    </row>
    <row r="8" spans="1:8" s="539" customFormat="1" x14ac:dyDescent="0.25">
      <c r="A8" s="321"/>
      <c r="B8" s="547"/>
      <c r="C8" s="323" t="s">
        <v>1211</v>
      </c>
      <c r="D8" s="323">
        <v>170000</v>
      </c>
      <c r="E8" s="323">
        <v>1</v>
      </c>
      <c r="F8" s="323">
        <v>6</v>
      </c>
      <c r="G8" s="545">
        <f t="shared" ref="G8:G29" si="0">D8*E8*F8</f>
        <v>1020000</v>
      </c>
      <c r="H8" s="290"/>
    </row>
    <row r="9" spans="1:8" s="539" customFormat="1" x14ac:dyDescent="0.25">
      <c r="A9" s="321"/>
      <c r="C9" s="323" t="s">
        <v>761</v>
      </c>
      <c r="D9" s="323">
        <v>100000</v>
      </c>
      <c r="E9" s="323">
        <v>1</v>
      </c>
      <c r="F9" s="323">
        <v>7</v>
      </c>
      <c r="G9" s="545">
        <f t="shared" si="0"/>
        <v>700000</v>
      </c>
      <c r="H9" s="290"/>
    </row>
    <row r="10" spans="1:8" s="539" customFormat="1" x14ac:dyDescent="0.25">
      <c r="A10" s="321"/>
      <c r="C10" s="323" t="s">
        <v>762</v>
      </c>
      <c r="D10" s="323">
        <v>150000</v>
      </c>
      <c r="E10" s="323">
        <v>3</v>
      </c>
      <c r="F10" s="323">
        <v>6</v>
      </c>
      <c r="G10" s="545">
        <f t="shared" si="0"/>
        <v>2700000</v>
      </c>
      <c r="H10" s="290"/>
    </row>
    <row r="11" spans="1:8" s="539" customFormat="1" x14ac:dyDescent="0.25">
      <c r="A11" s="321"/>
      <c r="C11" s="323" t="s">
        <v>763</v>
      </c>
      <c r="D11" s="323">
        <v>100000</v>
      </c>
      <c r="E11" s="323">
        <v>3</v>
      </c>
      <c r="F11" s="323">
        <v>7</v>
      </c>
      <c r="G11" s="545">
        <f t="shared" si="0"/>
        <v>2100000</v>
      </c>
      <c r="H11" s="290"/>
    </row>
    <row r="12" spans="1:8" s="539" customFormat="1" x14ac:dyDescent="0.25">
      <c r="A12" s="321"/>
      <c r="C12" s="323" t="s">
        <v>1212</v>
      </c>
      <c r="D12" s="323">
        <v>150000</v>
      </c>
      <c r="E12" s="323">
        <v>1</v>
      </c>
      <c r="F12" s="323">
        <v>6</v>
      </c>
      <c r="G12" s="545">
        <f t="shared" si="0"/>
        <v>900000</v>
      </c>
      <c r="H12" s="290"/>
    </row>
    <row r="13" spans="1:8" s="539" customFormat="1" x14ac:dyDescent="0.25">
      <c r="A13" s="321"/>
      <c r="C13" s="323" t="s">
        <v>1213</v>
      </c>
      <c r="D13" s="323">
        <v>100000</v>
      </c>
      <c r="E13" s="323">
        <v>1</v>
      </c>
      <c r="F13" s="323">
        <v>7</v>
      </c>
      <c r="G13" s="545">
        <f t="shared" si="0"/>
        <v>700000</v>
      </c>
      <c r="H13" s="290"/>
    </row>
    <row r="14" spans="1:8" s="539" customFormat="1" x14ac:dyDescent="0.25">
      <c r="A14" s="321"/>
      <c r="C14" s="323" t="s">
        <v>1214</v>
      </c>
      <c r="D14" s="323">
        <v>150000</v>
      </c>
      <c r="E14" s="323">
        <v>12</v>
      </c>
      <c r="F14" s="323">
        <v>4</v>
      </c>
      <c r="G14" s="545">
        <f t="shared" si="0"/>
        <v>7200000</v>
      </c>
      <c r="H14" s="290"/>
    </row>
    <row r="15" spans="1:8" s="539" customFormat="1" x14ac:dyDescent="0.25">
      <c r="A15" s="321"/>
      <c r="C15" s="323" t="s">
        <v>1215</v>
      </c>
      <c r="D15" s="323">
        <v>100000</v>
      </c>
      <c r="E15" s="323">
        <v>12</v>
      </c>
      <c r="F15" s="323">
        <v>5</v>
      </c>
      <c r="G15" s="545">
        <f t="shared" si="0"/>
        <v>6000000</v>
      </c>
      <c r="H15" s="290"/>
    </row>
    <row r="16" spans="1:8" s="539" customFormat="1" x14ac:dyDescent="0.25">
      <c r="A16" s="321"/>
      <c r="C16" s="323" t="s">
        <v>1216</v>
      </c>
      <c r="D16" s="323">
        <v>0</v>
      </c>
      <c r="E16" s="323">
        <v>3</v>
      </c>
      <c r="F16" s="323">
        <v>3</v>
      </c>
      <c r="G16" s="545">
        <f t="shared" si="0"/>
        <v>0</v>
      </c>
      <c r="H16" s="290"/>
    </row>
    <row r="17" spans="1:9" s="539" customFormat="1" x14ac:dyDescent="0.25">
      <c r="A17" s="321"/>
      <c r="C17" s="323" t="s">
        <v>1217</v>
      </c>
      <c r="D17" s="323">
        <v>0</v>
      </c>
      <c r="E17" s="323">
        <v>10</v>
      </c>
      <c r="F17" s="323">
        <v>3</v>
      </c>
      <c r="G17" s="545">
        <f t="shared" si="0"/>
        <v>0</v>
      </c>
      <c r="H17" s="290"/>
    </row>
    <row r="18" spans="1:9" s="539" customFormat="1" x14ac:dyDescent="0.25">
      <c r="A18" s="321"/>
      <c r="C18" s="323" t="s">
        <v>1218</v>
      </c>
      <c r="D18" s="323">
        <v>0</v>
      </c>
      <c r="E18" s="323">
        <v>36</v>
      </c>
      <c r="F18" s="323">
        <v>3</v>
      </c>
      <c r="G18" s="545">
        <f t="shared" si="0"/>
        <v>0</v>
      </c>
      <c r="H18" s="290"/>
    </row>
    <row r="19" spans="1:9" s="301" customFormat="1" x14ac:dyDescent="0.25">
      <c r="A19" s="321"/>
      <c r="C19" s="323" t="s">
        <v>1219</v>
      </c>
      <c r="D19" s="323">
        <v>8000</v>
      </c>
      <c r="E19" s="323">
        <v>136</v>
      </c>
      <c r="F19" s="323">
        <v>2</v>
      </c>
      <c r="G19" s="545">
        <f t="shared" si="0"/>
        <v>2176000</v>
      </c>
      <c r="H19" s="548"/>
    </row>
    <row r="20" spans="1:9" s="301" customFormat="1" x14ac:dyDescent="0.25">
      <c r="A20" s="321"/>
      <c r="C20" s="323" t="s">
        <v>1220</v>
      </c>
      <c r="D20" s="323">
        <v>8000</v>
      </c>
      <c r="E20" s="323">
        <v>3</v>
      </c>
      <c r="F20" s="323">
        <v>10</v>
      </c>
      <c r="G20" s="545">
        <f t="shared" si="0"/>
        <v>240000</v>
      </c>
      <c r="H20" s="548"/>
    </row>
    <row r="21" spans="1:9" s="539" customFormat="1" x14ac:dyDescent="0.25">
      <c r="A21" s="321"/>
      <c r="C21" s="323" t="s">
        <v>1221</v>
      </c>
      <c r="D21" s="323">
        <v>240000</v>
      </c>
      <c r="E21" s="323">
        <v>4</v>
      </c>
      <c r="F21" s="323">
        <v>1</v>
      </c>
      <c r="G21" s="545">
        <f t="shared" si="0"/>
        <v>960000</v>
      </c>
      <c r="H21" s="290"/>
    </row>
    <row r="22" spans="1:9" s="539" customFormat="1" x14ac:dyDescent="0.25">
      <c r="A22" s="321"/>
      <c r="C22" s="546" t="s">
        <v>1222</v>
      </c>
      <c r="D22" s="323">
        <v>240000</v>
      </c>
      <c r="E22" s="323">
        <v>4</v>
      </c>
      <c r="F22" s="323">
        <v>1</v>
      </c>
      <c r="G22" s="545">
        <f t="shared" si="0"/>
        <v>960000</v>
      </c>
      <c r="H22" s="290"/>
    </row>
    <row r="23" spans="1:9" s="539" customFormat="1" x14ac:dyDescent="0.25">
      <c r="A23" s="321"/>
      <c r="C23" s="546" t="s">
        <v>1223</v>
      </c>
      <c r="D23" s="323">
        <v>80000</v>
      </c>
      <c r="E23" s="323">
        <v>1</v>
      </c>
      <c r="F23" s="323">
        <v>3</v>
      </c>
      <c r="G23" s="545">
        <f t="shared" si="0"/>
        <v>240000</v>
      </c>
      <c r="H23" s="290"/>
    </row>
    <row r="24" spans="1:9" s="539" customFormat="1" x14ac:dyDescent="0.25">
      <c r="A24" s="321"/>
      <c r="B24" s="327"/>
      <c r="C24" s="322" t="s">
        <v>231</v>
      </c>
      <c r="D24" s="323">
        <v>1000000</v>
      </c>
      <c r="E24" s="323">
        <v>1</v>
      </c>
      <c r="F24" s="323">
        <v>3</v>
      </c>
      <c r="G24" s="545">
        <f t="shared" si="0"/>
        <v>3000000</v>
      </c>
      <c r="H24" s="290"/>
    </row>
    <row r="25" spans="1:9" s="539" customFormat="1" x14ac:dyDescent="0.25">
      <c r="A25" s="321"/>
      <c r="B25" s="327"/>
      <c r="C25" s="322" t="s">
        <v>97</v>
      </c>
      <c r="D25" s="323">
        <v>20000</v>
      </c>
      <c r="E25" s="323">
        <v>65</v>
      </c>
      <c r="F25" s="323">
        <v>3</v>
      </c>
      <c r="G25" s="545">
        <f t="shared" si="0"/>
        <v>3900000</v>
      </c>
      <c r="H25" s="290"/>
    </row>
    <row r="26" spans="1:9" s="539" customFormat="1" x14ac:dyDescent="0.25">
      <c r="A26" s="321"/>
      <c r="B26" s="546"/>
      <c r="C26" s="322" t="s">
        <v>756</v>
      </c>
      <c r="D26" s="323">
        <v>400000</v>
      </c>
      <c r="E26" s="323">
        <v>1</v>
      </c>
      <c r="F26" s="323">
        <v>1</v>
      </c>
      <c r="G26" s="545">
        <f t="shared" si="0"/>
        <v>400000</v>
      </c>
      <c r="H26" s="290"/>
    </row>
    <row r="27" spans="1:9" s="549" customFormat="1" x14ac:dyDescent="0.25">
      <c r="A27" s="321"/>
      <c r="B27" s="327"/>
      <c r="C27" s="323" t="s">
        <v>60</v>
      </c>
      <c r="D27" s="323">
        <v>1</v>
      </c>
      <c r="E27" s="323">
        <v>1</v>
      </c>
      <c r="F27" s="323">
        <v>1</v>
      </c>
      <c r="G27" s="545">
        <v>1110000</v>
      </c>
      <c r="H27" s="413"/>
    </row>
    <row r="28" spans="1:9" s="539" customFormat="1" x14ac:dyDescent="0.25">
      <c r="A28" s="321"/>
      <c r="B28" s="546"/>
      <c r="C28" s="323" t="s">
        <v>57</v>
      </c>
      <c r="D28" s="323">
        <v>40000</v>
      </c>
      <c r="E28" s="323">
        <v>7</v>
      </c>
      <c r="F28" s="323">
        <v>3</v>
      </c>
      <c r="G28" s="545">
        <f t="shared" si="0"/>
        <v>840000</v>
      </c>
      <c r="H28" s="290"/>
    </row>
    <row r="29" spans="1:9" s="539" customFormat="1" x14ac:dyDescent="0.25">
      <c r="A29" s="321"/>
      <c r="C29" s="323" t="s">
        <v>59</v>
      </c>
      <c r="D29" s="323">
        <v>50000</v>
      </c>
      <c r="E29" s="323">
        <v>40</v>
      </c>
      <c r="F29" s="323">
        <v>1</v>
      </c>
      <c r="G29" s="545">
        <f t="shared" si="0"/>
        <v>2000000</v>
      </c>
      <c r="H29" s="290"/>
    </row>
    <row r="30" spans="1:9" s="546" customFormat="1" x14ac:dyDescent="0.25">
      <c r="A30" s="550"/>
      <c r="B30" s="551"/>
      <c r="C30" s="552"/>
      <c r="D30" s="552"/>
      <c r="E30" s="552"/>
      <c r="F30" s="552"/>
      <c r="G30" s="553">
        <f>SUM(G7:G29)</f>
        <v>37296000</v>
      </c>
      <c r="H30" s="112">
        <f>G30/8136</f>
        <v>4584.070796460177</v>
      </c>
      <c r="I30" s="554">
        <f>SUM(H30)</f>
        <v>4584.070796460177</v>
      </c>
    </row>
    <row r="31" spans="1:9" s="558" customFormat="1" ht="31.5" x14ac:dyDescent="0.25">
      <c r="A31" s="543">
        <v>2</v>
      </c>
      <c r="B31" s="555" t="s">
        <v>1224</v>
      </c>
      <c r="C31" s="323" t="s">
        <v>39</v>
      </c>
      <c r="D31" s="323">
        <v>150000</v>
      </c>
      <c r="E31" s="323">
        <v>1</v>
      </c>
      <c r="F31" s="323">
        <v>1</v>
      </c>
      <c r="G31" s="556">
        <f>D31*E31*F31</f>
        <v>150000</v>
      </c>
      <c r="H31" s="557"/>
    </row>
    <row r="32" spans="1:9" s="539" customFormat="1" x14ac:dyDescent="0.25">
      <c r="A32" s="321"/>
      <c r="B32" s="547"/>
      <c r="C32" s="323" t="s">
        <v>1225</v>
      </c>
      <c r="D32" s="323">
        <v>170000</v>
      </c>
      <c r="E32" s="323">
        <v>1</v>
      </c>
      <c r="F32" s="323">
        <v>4</v>
      </c>
      <c r="G32" s="556">
        <f t="shared" ref="G32:G50" si="1">D32*E32*F32</f>
        <v>680000</v>
      </c>
      <c r="H32" s="290"/>
    </row>
    <row r="33" spans="1:8" s="539" customFormat="1" x14ac:dyDescent="0.25">
      <c r="A33" s="321"/>
      <c r="C33" s="323" t="s">
        <v>761</v>
      </c>
      <c r="D33" s="323">
        <v>100000</v>
      </c>
      <c r="E33" s="323">
        <v>1</v>
      </c>
      <c r="F33" s="323">
        <v>5</v>
      </c>
      <c r="G33" s="556">
        <f t="shared" si="1"/>
        <v>500000</v>
      </c>
      <c r="H33" s="290"/>
    </row>
    <row r="34" spans="1:8" s="539" customFormat="1" x14ac:dyDescent="0.25">
      <c r="A34" s="321"/>
      <c r="C34" s="323" t="s">
        <v>762</v>
      </c>
      <c r="D34" s="323">
        <v>150000</v>
      </c>
      <c r="E34" s="323">
        <v>4</v>
      </c>
      <c r="F34" s="323">
        <v>4</v>
      </c>
      <c r="G34" s="556">
        <f t="shared" si="1"/>
        <v>2400000</v>
      </c>
      <c r="H34" s="290"/>
    </row>
    <row r="35" spans="1:8" s="539" customFormat="1" x14ac:dyDescent="0.25">
      <c r="A35" s="321"/>
      <c r="C35" s="323" t="s">
        <v>763</v>
      </c>
      <c r="D35" s="323">
        <v>100000</v>
      </c>
      <c r="E35" s="323">
        <v>4</v>
      </c>
      <c r="F35" s="323">
        <v>5</v>
      </c>
      <c r="G35" s="556">
        <f t="shared" si="1"/>
        <v>2000000</v>
      </c>
      <c r="H35" s="290"/>
    </row>
    <row r="36" spans="1:8" s="539" customFormat="1" x14ac:dyDescent="0.25">
      <c r="A36" s="321"/>
      <c r="C36" s="323" t="s">
        <v>1214</v>
      </c>
      <c r="D36" s="323">
        <v>150000</v>
      </c>
      <c r="E36" s="323">
        <v>12</v>
      </c>
      <c r="F36" s="323">
        <v>4</v>
      </c>
      <c r="G36" s="556">
        <f t="shared" si="1"/>
        <v>7200000</v>
      </c>
      <c r="H36" s="290"/>
    </row>
    <row r="37" spans="1:8" s="539" customFormat="1" x14ac:dyDescent="0.25">
      <c r="A37" s="321"/>
      <c r="C37" s="323" t="s">
        <v>1215</v>
      </c>
      <c r="D37" s="323">
        <v>100000</v>
      </c>
      <c r="E37" s="323">
        <v>12</v>
      </c>
      <c r="F37" s="323">
        <v>5</v>
      </c>
      <c r="G37" s="556">
        <f t="shared" si="1"/>
        <v>6000000</v>
      </c>
      <c r="H37" s="290"/>
    </row>
    <row r="38" spans="1:8" s="539" customFormat="1" x14ac:dyDescent="0.25">
      <c r="A38" s="321"/>
      <c r="C38" s="323" t="s">
        <v>1216</v>
      </c>
      <c r="D38" s="323">
        <v>0</v>
      </c>
      <c r="E38" s="323">
        <v>3</v>
      </c>
      <c r="F38" s="323">
        <v>3</v>
      </c>
      <c r="G38" s="556">
        <f t="shared" si="1"/>
        <v>0</v>
      </c>
      <c r="H38" s="290"/>
    </row>
    <row r="39" spans="1:8" s="539" customFormat="1" x14ac:dyDescent="0.25">
      <c r="A39" s="321"/>
      <c r="C39" s="323" t="s">
        <v>1217</v>
      </c>
      <c r="D39" s="323">
        <v>0</v>
      </c>
      <c r="E39" s="323">
        <v>10</v>
      </c>
      <c r="F39" s="323">
        <v>3</v>
      </c>
      <c r="G39" s="556">
        <f t="shared" si="1"/>
        <v>0</v>
      </c>
      <c r="H39" s="290"/>
    </row>
    <row r="40" spans="1:8" s="539" customFormat="1" x14ac:dyDescent="0.25">
      <c r="A40" s="321"/>
      <c r="C40" s="323" t="s">
        <v>1218</v>
      </c>
      <c r="D40" s="323">
        <v>0</v>
      </c>
      <c r="E40" s="323">
        <v>36</v>
      </c>
      <c r="F40" s="323">
        <v>3</v>
      </c>
      <c r="G40" s="556">
        <f t="shared" si="1"/>
        <v>0</v>
      </c>
      <c r="H40" s="290"/>
    </row>
    <row r="41" spans="1:8" s="301" customFormat="1" x14ac:dyDescent="0.25">
      <c r="A41" s="321"/>
      <c r="C41" s="323" t="s">
        <v>1226</v>
      </c>
      <c r="D41" s="323">
        <v>1500000</v>
      </c>
      <c r="E41" s="323">
        <v>5</v>
      </c>
      <c r="F41" s="323">
        <v>1</v>
      </c>
      <c r="G41" s="556">
        <f t="shared" si="1"/>
        <v>7500000</v>
      </c>
      <c r="H41" s="548"/>
    </row>
    <row r="42" spans="1:8" s="539" customFormat="1" x14ac:dyDescent="0.25">
      <c r="A42" s="321"/>
      <c r="C42" s="323" t="s">
        <v>1221</v>
      </c>
      <c r="D42" s="323">
        <v>240000</v>
      </c>
      <c r="E42" s="323">
        <v>4</v>
      </c>
      <c r="F42" s="323">
        <v>1</v>
      </c>
      <c r="G42" s="556">
        <f t="shared" si="1"/>
        <v>960000</v>
      </c>
      <c r="H42" s="290"/>
    </row>
    <row r="43" spans="1:8" s="539" customFormat="1" x14ac:dyDescent="0.25">
      <c r="A43" s="321"/>
      <c r="C43" s="546" t="s">
        <v>1222</v>
      </c>
      <c r="D43" s="323">
        <v>240000</v>
      </c>
      <c r="E43" s="323">
        <v>4</v>
      </c>
      <c r="F43" s="323">
        <v>1</v>
      </c>
      <c r="G43" s="556">
        <f t="shared" si="1"/>
        <v>960000</v>
      </c>
      <c r="H43" s="290"/>
    </row>
    <row r="44" spans="1:8" s="539" customFormat="1" x14ac:dyDescent="0.25">
      <c r="A44" s="321"/>
      <c r="C44" s="546" t="s">
        <v>1223</v>
      </c>
      <c r="D44" s="323">
        <v>80000</v>
      </c>
      <c r="E44" s="323">
        <v>1</v>
      </c>
      <c r="F44" s="323">
        <v>3</v>
      </c>
      <c r="G44" s="556">
        <f t="shared" si="1"/>
        <v>240000</v>
      </c>
      <c r="H44" s="290"/>
    </row>
    <row r="45" spans="1:8" s="539" customFormat="1" x14ac:dyDescent="0.25">
      <c r="A45" s="321"/>
      <c r="B45" s="327"/>
      <c r="C45" s="322" t="s">
        <v>231</v>
      </c>
      <c r="D45" s="323">
        <v>1000000</v>
      </c>
      <c r="E45" s="323">
        <v>1</v>
      </c>
      <c r="F45" s="323">
        <v>3</v>
      </c>
      <c r="G45" s="556">
        <f t="shared" si="1"/>
        <v>3000000</v>
      </c>
      <c r="H45" s="290"/>
    </row>
    <row r="46" spans="1:8" s="539" customFormat="1" x14ac:dyDescent="0.25">
      <c r="A46" s="321"/>
      <c r="B46" s="327"/>
      <c r="C46" s="322" t="s">
        <v>97</v>
      </c>
      <c r="D46" s="323">
        <v>20000</v>
      </c>
      <c r="E46" s="323">
        <v>65</v>
      </c>
      <c r="F46" s="323">
        <v>3</v>
      </c>
      <c r="G46" s="556">
        <f t="shared" si="1"/>
        <v>3900000</v>
      </c>
      <c r="H46" s="290"/>
    </row>
    <row r="47" spans="1:8" s="539" customFormat="1" x14ac:dyDescent="0.25">
      <c r="A47" s="321"/>
      <c r="B47" s="546"/>
      <c r="C47" s="322" t="s">
        <v>756</v>
      </c>
      <c r="D47" s="323">
        <v>400000</v>
      </c>
      <c r="E47" s="323">
        <v>1</v>
      </c>
      <c r="F47" s="323">
        <v>1</v>
      </c>
      <c r="G47" s="556">
        <f t="shared" si="1"/>
        <v>400000</v>
      </c>
      <c r="H47" s="290"/>
    </row>
    <row r="48" spans="1:8" s="549" customFormat="1" x14ac:dyDescent="0.25">
      <c r="A48" s="321"/>
      <c r="B48" s="327"/>
      <c r="C48" s="323" t="s">
        <v>60</v>
      </c>
      <c r="D48" s="323">
        <v>1</v>
      </c>
      <c r="E48" s="323">
        <v>1</v>
      </c>
      <c r="F48" s="323">
        <v>1</v>
      </c>
      <c r="G48" s="556">
        <v>1110000</v>
      </c>
      <c r="H48" s="413"/>
    </row>
    <row r="49" spans="1:8" s="539" customFormat="1" x14ac:dyDescent="0.25">
      <c r="A49" s="321"/>
      <c r="B49" s="546"/>
      <c r="C49" s="323" t="s">
        <v>57</v>
      </c>
      <c r="D49" s="323">
        <v>40000</v>
      </c>
      <c r="E49" s="323">
        <v>7</v>
      </c>
      <c r="F49" s="323">
        <v>3</v>
      </c>
      <c r="G49" s="556">
        <f t="shared" si="1"/>
        <v>840000</v>
      </c>
      <c r="H49" s="290"/>
    </row>
    <row r="50" spans="1:8" s="539" customFormat="1" x14ac:dyDescent="0.25">
      <c r="A50" s="321"/>
      <c r="C50" s="323" t="s">
        <v>59</v>
      </c>
      <c r="D50" s="323">
        <v>50000</v>
      </c>
      <c r="E50" s="323">
        <v>40</v>
      </c>
      <c r="F50" s="323">
        <v>1</v>
      </c>
      <c r="G50" s="556">
        <f t="shared" si="1"/>
        <v>2000000</v>
      </c>
      <c r="H50" s="290"/>
    </row>
    <row r="51" spans="1:8" s="563" customFormat="1" x14ac:dyDescent="0.25">
      <c r="A51" s="559"/>
      <c r="B51" s="560"/>
      <c r="C51" s="552"/>
      <c r="D51" s="552"/>
      <c r="E51" s="552"/>
      <c r="F51" s="552"/>
      <c r="G51" s="561">
        <f>SUM(G31:G50)</f>
        <v>39840000</v>
      </c>
      <c r="H51" s="562">
        <f>G51/8136</f>
        <v>4896.7551622418878</v>
      </c>
    </row>
    <row r="52" spans="1:8" s="558" customFormat="1" ht="31.5" x14ac:dyDescent="0.25">
      <c r="A52" s="543">
        <v>3</v>
      </c>
      <c r="B52" s="564" t="s">
        <v>1227</v>
      </c>
      <c r="C52" s="323" t="s">
        <v>39</v>
      </c>
      <c r="D52" s="323">
        <v>150000</v>
      </c>
      <c r="E52" s="323">
        <v>1</v>
      </c>
      <c r="F52" s="323">
        <v>1</v>
      </c>
      <c r="G52" s="556">
        <f>D52*E52*F52</f>
        <v>150000</v>
      </c>
      <c r="H52" s="557"/>
    </row>
    <row r="53" spans="1:8" s="539" customFormat="1" x14ac:dyDescent="0.25">
      <c r="A53" s="321"/>
      <c r="B53" s="547"/>
      <c r="C53" s="323" t="s">
        <v>760</v>
      </c>
      <c r="D53" s="323">
        <v>170000</v>
      </c>
      <c r="E53" s="323">
        <v>1</v>
      </c>
      <c r="F53" s="323">
        <v>4</v>
      </c>
      <c r="G53" s="556">
        <f t="shared" ref="G53:G68" si="2">D53*E53*F53</f>
        <v>680000</v>
      </c>
      <c r="H53" s="290"/>
    </row>
    <row r="54" spans="1:8" s="539" customFormat="1" x14ac:dyDescent="0.25">
      <c r="A54" s="321"/>
      <c r="C54" s="323" t="s">
        <v>761</v>
      </c>
      <c r="D54" s="323">
        <v>100000</v>
      </c>
      <c r="E54" s="323">
        <v>1</v>
      </c>
      <c r="F54" s="323">
        <v>5</v>
      </c>
      <c r="G54" s="556">
        <f t="shared" si="2"/>
        <v>500000</v>
      </c>
      <c r="H54" s="290"/>
    </row>
    <row r="55" spans="1:8" s="539" customFormat="1" x14ac:dyDescent="0.25">
      <c r="A55" s="321"/>
      <c r="C55" s="323" t="s">
        <v>762</v>
      </c>
      <c r="D55" s="323">
        <v>150000</v>
      </c>
      <c r="E55" s="323">
        <v>4</v>
      </c>
      <c r="F55" s="323">
        <v>4</v>
      </c>
      <c r="G55" s="556">
        <f t="shared" si="2"/>
        <v>2400000</v>
      </c>
      <c r="H55" s="290"/>
    </row>
    <row r="56" spans="1:8" s="539" customFormat="1" x14ac:dyDescent="0.25">
      <c r="A56" s="321"/>
      <c r="C56" s="323" t="s">
        <v>763</v>
      </c>
      <c r="D56" s="323">
        <v>100000</v>
      </c>
      <c r="E56" s="323">
        <v>4</v>
      </c>
      <c r="F56" s="323">
        <v>5</v>
      </c>
      <c r="G56" s="556">
        <f t="shared" si="2"/>
        <v>2000000</v>
      </c>
      <c r="H56" s="290"/>
    </row>
    <row r="57" spans="1:8" s="539" customFormat="1" x14ac:dyDescent="0.25">
      <c r="A57" s="321"/>
      <c r="C57" s="323" t="s">
        <v>1214</v>
      </c>
      <c r="D57" s="323">
        <v>150000</v>
      </c>
      <c r="E57" s="323">
        <v>12</v>
      </c>
      <c r="F57" s="323">
        <v>4</v>
      </c>
      <c r="G57" s="556">
        <f t="shared" si="2"/>
        <v>7200000</v>
      </c>
      <c r="H57" s="290"/>
    </row>
    <row r="58" spans="1:8" s="539" customFormat="1" x14ac:dyDescent="0.25">
      <c r="A58" s="321"/>
      <c r="C58" s="323" t="s">
        <v>1215</v>
      </c>
      <c r="D58" s="323">
        <v>100000</v>
      </c>
      <c r="E58" s="323">
        <v>12</v>
      </c>
      <c r="F58" s="323">
        <v>5</v>
      </c>
      <c r="G58" s="556">
        <f t="shared" si="2"/>
        <v>6000000</v>
      </c>
      <c r="H58" s="290"/>
    </row>
    <row r="59" spans="1:8" s="539" customFormat="1" x14ac:dyDescent="0.25">
      <c r="A59" s="321"/>
      <c r="C59" s="323" t="s">
        <v>1216</v>
      </c>
      <c r="D59" s="323">
        <v>0</v>
      </c>
      <c r="E59" s="323">
        <v>3</v>
      </c>
      <c r="F59" s="323">
        <v>3</v>
      </c>
      <c r="G59" s="556">
        <f t="shared" si="2"/>
        <v>0</v>
      </c>
      <c r="H59" s="290"/>
    </row>
    <row r="60" spans="1:8" s="539" customFormat="1" x14ac:dyDescent="0.25">
      <c r="A60" s="321"/>
      <c r="C60" s="323" t="s">
        <v>1217</v>
      </c>
      <c r="D60" s="323">
        <v>0</v>
      </c>
      <c r="E60" s="323">
        <v>10</v>
      </c>
      <c r="F60" s="323">
        <v>3</v>
      </c>
      <c r="G60" s="556">
        <f t="shared" si="2"/>
        <v>0</v>
      </c>
      <c r="H60" s="290"/>
    </row>
    <row r="61" spans="1:8" s="539" customFormat="1" x14ac:dyDescent="0.25">
      <c r="A61" s="321"/>
      <c r="C61" s="323" t="s">
        <v>1218</v>
      </c>
      <c r="D61" s="323">
        <v>0</v>
      </c>
      <c r="E61" s="323">
        <v>36</v>
      </c>
      <c r="F61" s="323">
        <v>3</v>
      </c>
      <c r="G61" s="556">
        <f t="shared" si="2"/>
        <v>0</v>
      </c>
      <c r="H61" s="290"/>
    </row>
    <row r="62" spans="1:8" s="301" customFormat="1" x14ac:dyDescent="0.25">
      <c r="A62" s="321"/>
      <c r="C62" s="323" t="s">
        <v>1226</v>
      </c>
      <c r="D62" s="323">
        <v>1500000</v>
      </c>
      <c r="E62" s="323">
        <v>5</v>
      </c>
      <c r="F62" s="323">
        <v>1</v>
      </c>
      <c r="G62" s="556">
        <f t="shared" si="2"/>
        <v>7500000</v>
      </c>
      <c r="H62" s="548"/>
    </row>
    <row r="63" spans="1:8" s="539" customFormat="1" x14ac:dyDescent="0.25">
      <c r="A63" s="321"/>
      <c r="C63" s="323" t="s">
        <v>1221</v>
      </c>
      <c r="D63" s="323">
        <v>240000</v>
      </c>
      <c r="E63" s="323">
        <v>4</v>
      </c>
      <c r="F63" s="323">
        <v>1</v>
      </c>
      <c r="G63" s="556">
        <f t="shared" si="2"/>
        <v>960000</v>
      </c>
      <c r="H63" s="290"/>
    </row>
    <row r="64" spans="1:8" s="539" customFormat="1" x14ac:dyDescent="0.25">
      <c r="A64" s="321"/>
      <c r="C64" s="546" t="s">
        <v>1222</v>
      </c>
      <c r="D64" s="323">
        <v>240000</v>
      </c>
      <c r="E64" s="323">
        <v>4</v>
      </c>
      <c r="F64" s="323">
        <v>1</v>
      </c>
      <c r="G64" s="556">
        <f t="shared" si="2"/>
        <v>960000</v>
      </c>
      <c r="H64" s="290"/>
    </row>
    <row r="65" spans="1:8" s="539" customFormat="1" x14ac:dyDescent="0.25">
      <c r="A65" s="321"/>
      <c r="C65" s="546" t="s">
        <v>1223</v>
      </c>
      <c r="D65" s="323">
        <v>80000</v>
      </c>
      <c r="E65" s="323">
        <v>1</v>
      </c>
      <c r="F65" s="323">
        <v>3</v>
      </c>
      <c r="G65" s="556">
        <f t="shared" si="2"/>
        <v>240000</v>
      </c>
      <c r="H65" s="290"/>
    </row>
    <row r="66" spans="1:8" s="539" customFormat="1" x14ac:dyDescent="0.25">
      <c r="A66" s="321"/>
      <c r="B66" s="327"/>
      <c r="C66" s="322" t="s">
        <v>231</v>
      </c>
      <c r="D66" s="323">
        <v>1000000</v>
      </c>
      <c r="E66" s="323">
        <v>1</v>
      </c>
      <c r="F66" s="323">
        <v>3</v>
      </c>
      <c r="G66" s="556">
        <f t="shared" si="2"/>
        <v>3000000</v>
      </c>
      <c r="H66" s="290"/>
    </row>
    <row r="67" spans="1:8" s="539" customFormat="1" x14ac:dyDescent="0.25">
      <c r="A67" s="321"/>
      <c r="B67" s="327"/>
      <c r="C67" s="322" t="s">
        <v>97</v>
      </c>
      <c r="D67" s="323">
        <v>20000</v>
      </c>
      <c r="E67" s="323">
        <v>65</v>
      </c>
      <c r="F67" s="323">
        <v>3</v>
      </c>
      <c r="G67" s="556">
        <f t="shared" si="2"/>
        <v>3900000</v>
      </c>
      <c r="H67" s="290"/>
    </row>
    <row r="68" spans="1:8" s="539" customFormat="1" x14ac:dyDescent="0.25">
      <c r="A68" s="321"/>
      <c r="B68" s="546"/>
      <c r="C68" s="322" t="s">
        <v>756</v>
      </c>
      <c r="D68" s="323">
        <v>400000</v>
      </c>
      <c r="E68" s="323">
        <v>1</v>
      </c>
      <c r="F68" s="323">
        <v>1</v>
      </c>
      <c r="G68" s="556">
        <f t="shared" si="2"/>
        <v>400000</v>
      </c>
      <c r="H68" s="290"/>
    </row>
    <row r="69" spans="1:8" s="549" customFormat="1" x14ac:dyDescent="0.25">
      <c r="A69" s="321"/>
      <c r="B69" s="327"/>
      <c r="C69" s="323" t="s">
        <v>60</v>
      </c>
      <c r="D69" s="323">
        <v>1</v>
      </c>
      <c r="E69" s="323">
        <v>1</v>
      </c>
      <c r="F69" s="323">
        <v>1</v>
      </c>
      <c r="G69" s="556">
        <v>1110000</v>
      </c>
      <c r="H69" s="413"/>
    </row>
    <row r="70" spans="1:8" s="539" customFormat="1" x14ac:dyDescent="0.25">
      <c r="A70" s="321"/>
      <c r="B70" s="546"/>
      <c r="C70" s="323" t="s">
        <v>57</v>
      </c>
      <c r="D70" s="323">
        <v>40000</v>
      </c>
      <c r="E70" s="323">
        <v>7</v>
      </c>
      <c r="F70" s="323">
        <v>3</v>
      </c>
      <c r="G70" s="556">
        <f t="shared" ref="G70:G71" si="3">D70*E70*F70</f>
        <v>840000</v>
      </c>
      <c r="H70" s="290"/>
    </row>
    <row r="71" spans="1:8" s="539" customFormat="1" x14ac:dyDescent="0.25">
      <c r="A71" s="321"/>
      <c r="C71" s="323" t="s">
        <v>59</v>
      </c>
      <c r="D71" s="323">
        <v>50000</v>
      </c>
      <c r="E71" s="323">
        <v>40</v>
      </c>
      <c r="F71" s="323">
        <v>1</v>
      </c>
      <c r="G71" s="556">
        <f t="shared" si="3"/>
        <v>2000000</v>
      </c>
      <c r="H71" s="290"/>
    </row>
    <row r="72" spans="1:8" s="563" customFormat="1" x14ac:dyDescent="0.25">
      <c r="A72" s="559"/>
      <c r="B72" s="560"/>
      <c r="C72" s="552"/>
      <c r="D72" s="552"/>
      <c r="E72" s="552"/>
      <c r="F72" s="552"/>
      <c r="G72" s="565">
        <f>SUM(G52:G71)</f>
        <v>39840000</v>
      </c>
      <c r="H72" s="562">
        <f>G72/8136</f>
        <v>4896.7551622418878</v>
      </c>
    </row>
    <row r="73" spans="1:8" s="563" customFormat="1" ht="31.5" x14ac:dyDescent="0.25">
      <c r="A73" s="566">
        <v>4</v>
      </c>
      <c r="B73" s="567" t="s">
        <v>1228</v>
      </c>
      <c r="C73" s="323" t="s">
        <v>39</v>
      </c>
      <c r="D73" s="323">
        <v>150000</v>
      </c>
      <c r="E73" s="323">
        <v>1</v>
      </c>
      <c r="F73" s="323">
        <v>1</v>
      </c>
      <c r="G73" s="556">
        <f>D73*E73*F73</f>
        <v>150000</v>
      </c>
      <c r="H73" s="562"/>
    </row>
    <row r="74" spans="1:8" s="563" customFormat="1" x14ac:dyDescent="0.25">
      <c r="A74" s="568"/>
      <c r="B74" s="569"/>
      <c r="C74" s="323" t="s">
        <v>1229</v>
      </c>
      <c r="D74" s="323">
        <v>170000</v>
      </c>
      <c r="E74" s="323">
        <v>1</v>
      </c>
      <c r="F74" s="323">
        <v>4</v>
      </c>
      <c r="G74" s="556">
        <f t="shared" ref="G74:G92" si="4">D74*E74*F74</f>
        <v>680000</v>
      </c>
      <c r="H74" s="562"/>
    </row>
    <row r="75" spans="1:8" s="563" customFormat="1" x14ac:dyDescent="0.25">
      <c r="A75" s="568"/>
      <c r="B75" s="569"/>
      <c r="C75" s="323" t="s">
        <v>1230</v>
      </c>
      <c r="D75" s="323">
        <v>100000</v>
      </c>
      <c r="E75" s="323">
        <v>1</v>
      </c>
      <c r="F75" s="323">
        <v>5</v>
      </c>
      <c r="G75" s="556">
        <f t="shared" si="4"/>
        <v>500000</v>
      </c>
      <c r="H75" s="562"/>
    </row>
    <row r="76" spans="1:8" s="563" customFormat="1" x14ac:dyDescent="0.25">
      <c r="A76" s="568"/>
      <c r="B76" s="569"/>
      <c r="C76" s="323" t="s">
        <v>762</v>
      </c>
      <c r="D76" s="323">
        <v>150000</v>
      </c>
      <c r="E76" s="323">
        <v>4</v>
      </c>
      <c r="F76" s="323">
        <v>4</v>
      </c>
      <c r="G76" s="556">
        <f t="shared" si="4"/>
        <v>2400000</v>
      </c>
      <c r="H76" s="562"/>
    </row>
    <row r="77" spans="1:8" s="563" customFormat="1" x14ac:dyDescent="0.25">
      <c r="A77" s="568"/>
      <c r="B77" s="569"/>
      <c r="C77" s="323" t="s">
        <v>763</v>
      </c>
      <c r="D77" s="323">
        <v>100000</v>
      </c>
      <c r="E77" s="323">
        <v>4</v>
      </c>
      <c r="F77" s="323">
        <v>5</v>
      </c>
      <c r="G77" s="556">
        <f t="shared" si="4"/>
        <v>2000000</v>
      </c>
      <c r="H77" s="562"/>
    </row>
    <row r="78" spans="1:8" s="563" customFormat="1" x14ac:dyDescent="0.25">
      <c r="A78" s="568"/>
      <c r="B78" s="569"/>
      <c r="C78" s="323" t="s">
        <v>1214</v>
      </c>
      <c r="D78" s="323">
        <v>150000</v>
      </c>
      <c r="E78" s="323">
        <v>12</v>
      </c>
      <c r="F78" s="323">
        <v>4</v>
      </c>
      <c r="G78" s="556">
        <f t="shared" si="4"/>
        <v>7200000</v>
      </c>
      <c r="H78" s="562"/>
    </row>
    <row r="79" spans="1:8" s="563" customFormat="1" x14ac:dyDescent="0.25">
      <c r="A79" s="568"/>
      <c r="B79" s="569"/>
      <c r="C79" s="323" t="s">
        <v>1215</v>
      </c>
      <c r="D79" s="323">
        <v>100000</v>
      </c>
      <c r="E79" s="323">
        <v>12</v>
      </c>
      <c r="F79" s="323">
        <v>5</v>
      </c>
      <c r="G79" s="556">
        <f t="shared" si="4"/>
        <v>6000000</v>
      </c>
      <c r="H79" s="562"/>
    </row>
    <row r="80" spans="1:8" s="563" customFormat="1" x14ac:dyDescent="0.25">
      <c r="A80" s="568"/>
      <c r="B80" s="569"/>
      <c r="C80" s="323" t="s">
        <v>1216</v>
      </c>
      <c r="D80" s="323">
        <v>0</v>
      </c>
      <c r="E80" s="323">
        <v>3</v>
      </c>
      <c r="F80" s="323">
        <v>3</v>
      </c>
      <c r="G80" s="556">
        <f t="shared" si="4"/>
        <v>0</v>
      </c>
      <c r="H80" s="562"/>
    </row>
    <row r="81" spans="1:8" s="563" customFormat="1" x14ac:dyDescent="0.25">
      <c r="A81" s="568"/>
      <c r="B81" s="569"/>
      <c r="C81" s="323" t="s">
        <v>1217</v>
      </c>
      <c r="D81" s="323">
        <v>0</v>
      </c>
      <c r="E81" s="323">
        <v>10</v>
      </c>
      <c r="F81" s="323">
        <v>3</v>
      </c>
      <c r="G81" s="556">
        <f t="shared" si="4"/>
        <v>0</v>
      </c>
      <c r="H81" s="562"/>
    </row>
    <row r="82" spans="1:8" s="563" customFormat="1" x14ac:dyDescent="0.25">
      <c r="A82" s="568"/>
      <c r="B82" s="569"/>
      <c r="C82" s="323" t="s">
        <v>1218</v>
      </c>
      <c r="D82" s="323">
        <v>0</v>
      </c>
      <c r="E82" s="323">
        <v>36</v>
      </c>
      <c r="F82" s="323">
        <v>3</v>
      </c>
      <c r="G82" s="556">
        <f t="shared" si="4"/>
        <v>0</v>
      </c>
      <c r="H82" s="562"/>
    </row>
    <row r="83" spans="1:8" s="563" customFormat="1" x14ac:dyDescent="0.25">
      <c r="A83" s="568"/>
      <c r="B83" s="569"/>
      <c r="C83" s="323" t="s">
        <v>1231</v>
      </c>
      <c r="D83" s="323">
        <v>1500000</v>
      </c>
      <c r="E83" s="323">
        <v>5</v>
      </c>
      <c r="F83" s="323">
        <v>1</v>
      </c>
      <c r="G83" s="556">
        <f t="shared" si="4"/>
        <v>7500000</v>
      </c>
      <c r="H83" s="562"/>
    </row>
    <row r="84" spans="1:8" s="563" customFormat="1" x14ac:dyDescent="0.25">
      <c r="A84" s="568"/>
      <c r="B84" s="569"/>
      <c r="C84" s="323" t="s">
        <v>1221</v>
      </c>
      <c r="D84" s="323">
        <v>240000</v>
      </c>
      <c r="E84" s="323">
        <v>4</v>
      </c>
      <c r="F84" s="323">
        <v>1</v>
      </c>
      <c r="G84" s="556">
        <f t="shared" si="4"/>
        <v>960000</v>
      </c>
      <c r="H84" s="562"/>
    </row>
    <row r="85" spans="1:8" s="563" customFormat="1" x14ac:dyDescent="0.25">
      <c r="A85" s="568"/>
      <c r="B85" s="569"/>
      <c r="C85" s="323" t="s">
        <v>1222</v>
      </c>
      <c r="D85" s="323">
        <v>240000</v>
      </c>
      <c r="E85" s="323">
        <v>4</v>
      </c>
      <c r="F85" s="323">
        <v>1</v>
      </c>
      <c r="G85" s="556">
        <f t="shared" si="4"/>
        <v>960000</v>
      </c>
      <c r="H85" s="562"/>
    </row>
    <row r="86" spans="1:8" s="563" customFormat="1" x14ac:dyDescent="0.25">
      <c r="A86" s="568"/>
      <c r="B86" s="569"/>
      <c r="C86" s="323" t="s">
        <v>1223</v>
      </c>
      <c r="D86" s="323">
        <v>80000</v>
      </c>
      <c r="E86" s="323">
        <v>1</v>
      </c>
      <c r="F86" s="323">
        <v>3</v>
      </c>
      <c r="G86" s="556">
        <f t="shared" si="4"/>
        <v>240000</v>
      </c>
      <c r="H86" s="562"/>
    </row>
    <row r="87" spans="1:8" s="563" customFormat="1" x14ac:dyDescent="0.25">
      <c r="A87" s="568"/>
      <c r="B87" s="569"/>
      <c r="C87" s="323" t="s">
        <v>231</v>
      </c>
      <c r="D87" s="323">
        <v>1000000</v>
      </c>
      <c r="E87" s="323">
        <v>1</v>
      </c>
      <c r="F87" s="323">
        <v>3</v>
      </c>
      <c r="G87" s="556">
        <f t="shared" si="4"/>
        <v>3000000</v>
      </c>
      <c r="H87" s="562"/>
    </row>
    <row r="88" spans="1:8" s="563" customFormat="1" x14ac:dyDescent="0.25">
      <c r="A88" s="568"/>
      <c r="B88" s="569"/>
      <c r="C88" s="323" t="s">
        <v>97</v>
      </c>
      <c r="D88" s="323">
        <v>20000</v>
      </c>
      <c r="E88" s="323">
        <v>65</v>
      </c>
      <c r="F88" s="323">
        <v>3</v>
      </c>
      <c r="G88" s="556">
        <f t="shared" si="4"/>
        <v>3900000</v>
      </c>
      <c r="H88" s="562"/>
    </row>
    <row r="89" spans="1:8" s="563" customFormat="1" x14ac:dyDescent="0.25">
      <c r="A89" s="568"/>
      <c r="B89" s="569"/>
      <c r="C89" s="323" t="s">
        <v>756</v>
      </c>
      <c r="D89" s="323">
        <v>400000</v>
      </c>
      <c r="E89" s="323">
        <v>1</v>
      </c>
      <c r="F89" s="323">
        <v>1</v>
      </c>
      <c r="G89" s="556">
        <f t="shared" si="4"/>
        <v>400000</v>
      </c>
      <c r="H89" s="562"/>
    </row>
    <row r="90" spans="1:8" s="563" customFormat="1" x14ac:dyDescent="0.25">
      <c r="A90" s="568"/>
      <c r="B90" s="569"/>
      <c r="C90" s="323" t="s">
        <v>60</v>
      </c>
      <c r="D90" s="323">
        <v>1</v>
      </c>
      <c r="E90" s="323">
        <v>1</v>
      </c>
      <c r="F90" s="323">
        <v>1</v>
      </c>
      <c r="G90" s="556">
        <v>1110000</v>
      </c>
      <c r="H90" s="562"/>
    </row>
    <row r="91" spans="1:8" s="563" customFormat="1" x14ac:dyDescent="0.25">
      <c r="A91" s="568"/>
      <c r="B91" s="569"/>
      <c r="C91" s="323" t="s">
        <v>57</v>
      </c>
      <c r="D91" s="323">
        <v>40000</v>
      </c>
      <c r="E91" s="323">
        <v>7</v>
      </c>
      <c r="F91" s="323">
        <v>3</v>
      </c>
      <c r="G91" s="556">
        <f t="shared" si="4"/>
        <v>840000</v>
      </c>
      <c r="H91" s="562"/>
    </row>
    <row r="92" spans="1:8" s="563" customFormat="1" ht="16.5" thickBot="1" x14ac:dyDescent="0.3">
      <c r="A92" s="568"/>
      <c r="B92" s="569"/>
      <c r="C92" s="323" t="s">
        <v>59</v>
      </c>
      <c r="D92" s="323">
        <v>50000</v>
      </c>
      <c r="E92" s="323">
        <v>42</v>
      </c>
      <c r="F92" s="323">
        <v>1</v>
      </c>
      <c r="G92" s="556">
        <f t="shared" si="4"/>
        <v>2100000</v>
      </c>
      <c r="H92" s="562"/>
    </row>
    <row r="93" spans="1:8" s="563" customFormat="1" ht="16.5" thickBot="1" x14ac:dyDescent="0.3">
      <c r="A93" s="559"/>
      <c r="B93" s="560"/>
      <c r="C93" s="552"/>
      <c r="D93" s="552"/>
      <c r="E93" s="552"/>
      <c r="F93" s="552"/>
      <c r="G93" s="570">
        <f>SUM(G73:G92)</f>
        <v>39940000</v>
      </c>
      <c r="H93" s="562">
        <f>G93/8136</f>
        <v>4909.0462143559489</v>
      </c>
    </row>
    <row r="94" spans="1:8" s="563" customFormat="1" ht="31.5" x14ac:dyDescent="0.25">
      <c r="A94" s="566">
        <v>5</v>
      </c>
      <c r="B94" s="567" t="s">
        <v>1232</v>
      </c>
      <c r="C94" s="323" t="s">
        <v>39</v>
      </c>
      <c r="D94" s="323">
        <f>150000</f>
        <v>150000</v>
      </c>
      <c r="E94" s="323">
        <v>1</v>
      </c>
      <c r="F94" s="323">
        <v>1</v>
      </c>
      <c r="G94" s="556">
        <f>D94*E94*F94</f>
        <v>150000</v>
      </c>
      <c r="H94" s="562"/>
    </row>
    <row r="95" spans="1:8" s="563" customFormat="1" x14ac:dyDescent="0.25">
      <c r="A95" s="568"/>
      <c r="B95" s="569"/>
      <c r="C95" s="323" t="s">
        <v>1233</v>
      </c>
      <c r="D95" s="323">
        <v>170000</v>
      </c>
      <c r="E95" s="323">
        <v>1</v>
      </c>
      <c r="F95" s="323">
        <v>4</v>
      </c>
      <c r="G95" s="556">
        <f t="shared" ref="G95:G113" si="5">D95*E95*F95</f>
        <v>680000</v>
      </c>
      <c r="H95" s="562"/>
    </row>
    <row r="96" spans="1:8" s="563" customFormat="1" x14ac:dyDescent="0.25">
      <c r="A96" s="568"/>
      <c r="B96" s="569"/>
      <c r="C96" s="323" t="s">
        <v>1234</v>
      </c>
      <c r="D96" s="323">
        <v>100000</v>
      </c>
      <c r="E96" s="323">
        <v>1</v>
      </c>
      <c r="F96" s="323">
        <v>5</v>
      </c>
      <c r="G96" s="556">
        <f t="shared" si="5"/>
        <v>500000</v>
      </c>
      <c r="H96" s="562"/>
    </row>
    <row r="97" spans="1:8" s="563" customFormat="1" x14ac:dyDescent="0.25">
      <c r="A97" s="568"/>
      <c r="B97" s="569"/>
      <c r="C97" s="323" t="s">
        <v>762</v>
      </c>
      <c r="D97" s="323">
        <v>150000</v>
      </c>
      <c r="E97" s="323">
        <v>4</v>
      </c>
      <c r="F97" s="323">
        <v>4</v>
      </c>
      <c r="G97" s="556">
        <f t="shared" si="5"/>
        <v>2400000</v>
      </c>
      <c r="H97" s="562"/>
    </row>
    <row r="98" spans="1:8" s="563" customFormat="1" x14ac:dyDescent="0.25">
      <c r="A98" s="568"/>
      <c r="B98" s="569"/>
      <c r="C98" s="323" t="s">
        <v>763</v>
      </c>
      <c r="D98" s="323">
        <v>100000</v>
      </c>
      <c r="E98" s="323">
        <v>4</v>
      </c>
      <c r="F98" s="323">
        <v>5</v>
      </c>
      <c r="G98" s="556">
        <f t="shared" si="5"/>
        <v>2000000</v>
      </c>
      <c r="H98" s="562"/>
    </row>
    <row r="99" spans="1:8" s="563" customFormat="1" x14ac:dyDescent="0.25">
      <c r="A99" s="568"/>
      <c r="B99" s="569"/>
      <c r="C99" s="323" t="s">
        <v>1214</v>
      </c>
      <c r="D99" s="323">
        <v>150000</v>
      </c>
      <c r="E99" s="323">
        <v>12</v>
      </c>
      <c r="F99" s="323">
        <v>4</v>
      </c>
      <c r="G99" s="556">
        <f t="shared" si="5"/>
        <v>7200000</v>
      </c>
      <c r="H99" s="562"/>
    </row>
    <row r="100" spans="1:8" s="563" customFormat="1" x14ac:dyDescent="0.25">
      <c r="A100" s="568"/>
      <c r="B100" s="569"/>
      <c r="C100" s="323" t="s">
        <v>1215</v>
      </c>
      <c r="D100" s="323">
        <v>100000</v>
      </c>
      <c r="E100" s="323">
        <v>12</v>
      </c>
      <c r="F100" s="323">
        <v>5</v>
      </c>
      <c r="G100" s="556">
        <f t="shared" si="5"/>
        <v>6000000</v>
      </c>
      <c r="H100" s="562"/>
    </row>
    <row r="101" spans="1:8" s="563" customFormat="1" x14ac:dyDescent="0.25">
      <c r="A101" s="568"/>
      <c r="B101" s="569"/>
      <c r="C101" s="323" t="s">
        <v>1216</v>
      </c>
      <c r="D101" s="323">
        <v>0</v>
      </c>
      <c r="E101" s="323">
        <v>3</v>
      </c>
      <c r="F101" s="323">
        <v>3</v>
      </c>
      <c r="G101" s="556">
        <f t="shared" si="5"/>
        <v>0</v>
      </c>
      <c r="H101" s="562"/>
    </row>
    <row r="102" spans="1:8" s="563" customFormat="1" x14ac:dyDescent="0.25">
      <c r="A102" s="568"/>
      <c r="B102" s="569"/>
      <c r="C102" s="323" t="s">
        <v>1217</v>
      </c>
      <c r="D102" s="323">
        <v>0</v>
      </c>
      <c r="E102" s="323">
        <v>10</v>
      </c>
      <c r="F102" s="323">
        <v>3</v>
      </c>
      <c r="G102" s="556">
        <f t="shared" si="5"/>
        <v>0</v>
      </c>
      <c r="H102" s="562"/>
    </row>
    <row r="103" spans="1:8" s="563" customFormat="1" x14ac:dyDescent="0.25">
      <c r="A103" s="568"/>
      <c r="B103" s="569"/>
      <c r="C103" s="323" t="s">
        <v>1218</v>
      </c>
      <c r="D103" s="323">
        <v>0</v>
      </c>
      <c r="E103" s="323">
        <v>36</v>
      </c>
      <c r="F103" s="323">
        <v>3</v>
      </c>
      <c r="G103" s="556">
        <f t="shared" si="5"/>
        <v>0</v>
      </c>
      <c r="H103" s="562"/>
    </row>
    <row r="104" spans="1:8" s="563" customFormat="1" x14ac:dyDescent="0.25">
      <c r="A104" s="568"/>
      <c r="B104" s="569"/>
      <c r="C104" s="323" t="s">
        <v>1235</v>
      </c>
      <c r="D104" s="323">
        <v>1200000</v>
      </c>
      <c r="E104" s="323">
        <v>5</v>
      </c>
      <c r="F104" s="323">
        <v>1</v>
      </c>
      <c r="G104" s="556">
        <f t="shared" si="5"/>
        <v>6000000</v>
      </c>
      <c r="H104" s="562"/>
    </row>
    <row r="105" spans="1:8" s="563" customFormat="1" x14ac:dyDescent="0.25">
      <c r="A105" s="568"/>
      <c r="B105" s="569"/>
      <c r="C105" s="323" t="s">
        <v>1221</v>
      </c>
      <c r="D105" s="323">
        <v>240000</v>
      </c>
      <c r="E105" s="323">
        <v>4</v>
      </c>
      <c r="F105" s="323">
        <v>1</v>
      </c>
      <c r="G105" s="556">
        <f t="shared" si="5"/>
        <v>960000</v>
      </c>
      <c r="H105" s="562"/>
    </row>
    <row r="106" spans="1:8" s="563" customFormat="1" x14ac:dyDescent="0.25">
      <c r="A106" s="568"/>
      <c r="B106" s="569"/>
      <c r="C106" s="323" t="s">
        <v>1222</v>
      </c>
      <c r="D106" s="323">
        <v>240000</v>
      </c>
      <c r="E106" s="323">
        <v>4</v>
      </c>
      <c r="F106" s="323">
        <v>1</v>
      </c>
      <c r="G106" s="556">
        <f t="shared" si="5"/>
        <v>960000</v>
      </c>
      <c r="H106" s="562"/>
    </row>
    <row r="107" spans="1:8" s="563" customFormat="1" x14ac:dyDescent="0.25">
      <c r="A107" s="568"/>
      <c r="B107" s="569"/>
      <c r="C107" s="323" t="s">
        <v>1223</v>
      </c>
      <c r="D107" s="323">
        <v>80000</v>
      </c>
      <c r="E107" s="323">
        <v>1</v>
      </c>
      <c r="F107" s="323">
        <v>3</v>
      </c>
      <c r="G107" s="556">
        <f t="shared" si="5"/>
        <v>240000</v>
      </c>
      <c r="H107" s="562"/>
    </row>
    <row r="108" spans="1:8" s="563" customFormat="1" x14ac:dyDescent="0.25">
      <c r="A108" s="568"/>
      <c r="B108" s="569"/>
      <c r="C108" s="323" t="s">
        <v>231</v>
      </c>
      <c r="D108" s="323">
        <v>1000000</v>
      </c>
      <c r="E108" s="323">
        <v>1</v>
      </c>
      <c r="F108" s="323">
        <v>3</v>
      </c>
      <c r="G108" s="556">
        <f t="shared" si="5"/>
        <v>3000000</v>
      </c>
      <c r="H108" s="562"/>
    </row>
    <row r="109" spans="1:8" s="563" customFormat="1" x14ac:dyDescent="0.25">
      <c r="A109" s="568"/>
      <c r="B109" s="569"/>
      <c r="C109" s="323" t="s">
        <v>97</v>
      </c>
      <c r="D109" s="323">
        <v>20000</v>
      </c>
      <c r="E109" s="323">
        <v>65</v>
      </c>
      <c r="F109" s="323">
        <v>3</v>
      </c>
      <c r="G109" s="556">
        <f t="shared" si="5"/>
        <v>3900000</v>
      </c>
      <c r="H109" s="562"/>
    </row>
    <row r="110" spans="1:8" s="563" customFormat="1" x14ac:dyDescent="0.25">
      <c r="A110" s="568"/>
      <c r="B110" s="569"/>
      <c r="C110" s="323" t="s">
        <v>756</v>
      </c>
      <c r="D110" s="323">
        <v>400000</v>
      </c>
      <c r="E110" s="323">
        <v>1</v>
      </c>
      <c r="F110" s="323">
        <v>1</v>
      </c>
      <c r="G110" s="556">
        <f t="shared" si="5"/>
        <v>400000</v>
      </c>
      <c r="H110" s="562"/>
    </row>
    <row r="111" spans="1:8" s="563" customFormat="1" x14ac:dyDescent="0.25">
      <c r="A111" s="568"/>
      <c r="B111" s="569"/>
      <c r="C111" s="323" t="s">
        <v>60</v>
      </c>
      <c r="D111" s="323">
        <v>1</v>
      </c>
      <c r="E111" s="323">
        <v>1</v>
      </c>
      <c r="F111" s="323">
        <v>1</v>
      </c>
      <c r="G111" s="556">
        <v>1110000</v>
      </c>
      <c r="H111" s="562"/>
    </row>
    <row r="112" spans="1:8" s="563" customFormat="1" x14ac:dyDescent="0.25">
      <c r="A112" s="568"/>
      <c r="B112" s="569"/>
      <c r="C112" s="323" t="s">
        <v>57</v>
      </c>
      <c r="D112" s="323">
        <v>40000</v>
      </c>
      <c r="E112" s="323">
        <v>7</v>
      </c>
      <c r="F112" s="323">
        <v>3</v>
      </c>
      <c r="G112" s="556">
        <f t="shared" si="5"/>
        <v>840000</v>
      </c>
      <c r="H112" s="562"/>
    </row>
    <row r="113" spans="1:8" s="563" customFormat="1" ht="16.5" thickBot="1" x14ac:dyDescent="0.3">
      <c r="A113" s="568"/>
      <c r="B113" s="569"/>
      <c r="C113" s="323" t="s">
        <v>59</v>
      </c>
      <c r="D113" s="323">
        <v>50000</v>
      </c>
      <c r="E113" s="323">
        <v>43</v>
      </c>
      <c r="F113" s="323">
        <v>1</v>
      </c>
      <c r="G113" s="556">
        <f t="shared" si="5"/>
        <v>2150000</v>
      </c>
      <c r="H113" s="562"/>
    </row>
    <row r="114" spans="1:8" s="563" customFormat="1" ht="16.5" thickBot="1" x14ac:dyDescent="0.3">
      <c r="A114" s="571"/>
      <c r="B114" s="572"/>
      <c r="C114" s="573"/>
      <c r="D114" s="573"/>
      <c r="E114" s="573"/>
      <c r="F114" s="573"/>
      <c r="G114" s="574">
        <f>SUM(G94:G113)</f>
        <v>38490000</v>
      </c>
      <c r="H114" s="562">
        <f>G114/8136</f>
        <v>4730.8259587020648</v>
      </c>
    </row>
    <row r="115" spans="1:8" s="563" customFormat="1" ht="31.5" x14ac:dyDescent="0.25">
      <c r="A115" s="566">
        <v>6</v>
      </c>
      <c r="B115" s="567" t="s">
        <v>1236</v>
      </c>
      <c r="C115" s="323" t="s">
        <v>39</v>
      </c>
      <c r="D115" s="323">
        <f>150000</f>
        <v>150000</v>
      </c>
      <c r="E115" s="323">
        <v>1</v>
      </c>
      <c r="F115" s="323">
        <v>1</v>
      </c>
      <c r="G115" s="556">
        <f>D115*E115*F115</f>
        <v>150000</v>
      </c>
      <c r="H115" s="562"/>
    </row>
    <row r="116" spans="1:8" s="563" customFormat="1" x14ac:dyDescent="0.25">
      <c r="A116" s="568"/>
      <c r="B116" s="569"/>
      <c r="C116" s="323" t="s">
        <v>1233</v>
      </c>
      <c r="D116" s="323">
        <v>0</v>
      </c>
      <c r="E116" s="323">
        <v>1</v>
      </c>
      <c r="F116" s="323">
        <v>4</v>
      </c>
      <c r="G116" s="556">
        <f t="shared" ref="G116:G133" si="6">D116*E116*F116</f>
        <v>0</v>
      </c>
      <c r="H116" s="562"/>
    </row>
    <row r="117" spans="1:8" s="563" customFormat="1" x14ac:dyDescent="0.25">
      <c r="A117" s="568"/>
      <c r="B117" s="569"/>
      <c r="C117" s="323" t="s">
        <v>1234</v>
      </c>
      <c r="D117" s="323">
        <v>0</v>
      </c>
      <c r="E117" s="323">
        <v>1</v>
      </c>
      <c r="F117" s="323">
        <v>5</v>
      </c>
      <c r="G117" s="556">
        <f t="shared" si="6"/>
        <v>0</v>
      </c>
      <c r="H117" s="562"/>
    </row>
    <row r="118" spans="1:8" s="563" customFormat="1" x14ac:dyDescent="0.25">
      <c r="A118" s="568"/>
      <c r="B118" s="569"/>
      <c r="C118" s="323" t="s">
        <v>762</v>
      </c>
      <c r="D118" s="323">
        <v>0</v>
      </c>
      <c r="E118" s="323">
        <v>4</v>
      </c>
      <c r="F118" s="323">
        <v>4</v>
      </c>
      <c r="G118" s="556">
        <f t="shared" si="6"/>
        <v>0</v>
      </c>
      <c r="H118" s="562"/>
    </row>
    <row r="119" spans="1:8" s="563" customFormat="1" x14ac:dyDescent="0.25">
      <c r="A119" s="568"/>
      <c r="B119" s="569"/>
      <c r="C119" s="323" t="s">
        <v>763</v>
      </c>
      <c r="D119" s="323">
        <v>0</v>
      </c>
      <c r="E119" s="323">
        <v>4</v>
      </c>
      <c r="F119" s="323">
        <v>5</v>
      </c>
      <c r="G119" s="556">
        <f t="shared" si="6"/>
        <v>0</v>
      </c>
      <c r="H119" s="562"/>
    </row>
    <row r="120" spans="1:8" s="563" customFormat="1" x14ac:dyDescent="0.25">
      <c r="A120" s="568"/>
      <c r="B120" s="569"/>
      <c r="C120" s="323" t="s">
        <v>1237</v>
      </c>
      <c r="D120" s="323">
        <v>150000</v>
      </c>
      <c r="E120" s="323">
        <v>4</v>
      </c>
      <c r="F120" s="323">
        <v>4</v>
      </c>
      <c r="G120" s="556">
        <f t="shared" si="6"/>
        <v>2400000</v>
      </c>
      <c r="H120" s="562"/>
    </row>
    <row r="121" spans="1:8" s="563" customFormat="1" x14ac:dyDescent="0.25">
      <c r="A121" s="568"/>
      <c r="B121" s="569"/>
      <c r="C121" s="323" t="s">
        <v>1238</v>
      </c>
      <c r="D121" s="323">
        <v>100000</v>
      </c>
      <c r="E121" s="323">
        <v>4</v>
      </c>
      <c r="F121" s="323">
        <v>5</v>
      </c>
      <c r="G121" s="556">
        <f t="shared" si="6"/>
        <v>2000000</v>
      </c>
      <c r="H121" s="562"/>
    </row>
    <row r="122" spans="1:8" s="563" customFormat="1" x14ac:dyDescent="0.25">
      <c r="A122" s="568"/>
      <c r="B122" s="569"/>
      <c r="C122" s="323" t="s">
        <v>1216</v>
      </c>
      <c r="D122" s="323">
        <v>0</v>
      </c>
      <c r="E122" s="323">
        <v>3</v>
      </c>
      <c r="F122" s="323">
        <v>3</v>
      </c>
      <c r="G122" s="556">
        <f t="shared" si="6"/>
        <v>0</v>
      </c>
      <c r="H122" s="562"/>
    </row>
    <row r="123" spans="1:8" s="563" customFormat="1" x14ac:dyDescent="0.25">
      <c r="A123" s="568"/>
      <c r="B123" s="569"/>
      <c r="C123" s="323" t="s">
        <v>1217</v>
      </c>
      <c r="D123" s="323">
        <v>0</v>
      </c>
      <c r="E123" s="323">
        <v>10</v>
      </c>
      <c r="F123" s="323">
        <v>3</v>
      </c>
      <c r="G123" s="556">
        <f t="shared" si="6"/>
        <v>0</v>
      </c>
      <c r="H123" s="562"/>
    </row>
    <row r="124" spans="1:8" s="563" customFormat="1" x14ac:dyDescent="0.25">
      <c r="A124" s="568"/>
      <c r="B124" s="569"/>
      <c r="C124" s="323" t="s">
        <v>1218</v>
      </c>
      <c r="D124" s="323">
        <v>0</v>
      </c>
      <c r="E124" s="323">
        <v>36</v>
      </c>
      <c r="F124" s="323">
        <v>3</v>
      </c>
      <c r="G124" s="556">
        <f t="shared" si="6"/>
        <v>0</v>
      </c>
      <c r="H124" s="562"/>
    </row>
    <row r="125" spans="1:8" s="563" customFormat="1" x14ac:dyDescent="0.25">
      <c r="A125" s="568"/>
      <c r="B125" s="569"/>
      <c r="C125" s="323" t="s">
        <v>1221</v>
      </c>
      <c r="D125" s="323">
        <v>240000</v>
      </c>
      <c r="E125" s="323">
        <v>4</v>
      </c>
      <c r="F125" s="323">
        <v>1</v>
      </c>
      <c r="G125" s="556">
        <f t="shared" si="6"/>
        <v>960000</v>
      </c>
      <c r="H125" s="562"/>
    </row>
    <row r="126" spans="1:8" s="563" customFormat="1" x14ac:dyDescent="0.25">
      <c r="A126" s="568"/>
      <c r="B126" s="569"/>
      <c r="C126" s="323" t="s">
        <v>1222</v>
      </c>
      <c r="D126" s="323">
        <v>240000</v>
      </c>
      <c r="E126" s="323">
        <v>4</v>
      </c>
      <c r="F126" s="323">
        <v>1</v>
      </c>
      <c r="G126" s="556">
        <f t="shared" si="6"/>
        <v>960000</v>
      </c>
      <c r="H126" s="562"/>
    </row>
    <row r="127" spans="1:8" s="563" customFormat="1" x14ac:dyDescent="0.25">
      <c r="A127" s="568"/>
      <c r="B127" s="569"/>
      <c r="C127" s="323" t="s">
        <v>1223</v>
      </c>
      <c r="D127" s="323">
        <v>80000</v>
      </c>
      <c r="E127" s="323">
        <v>1</v>
      </c>
      <c r="F127" s="323">
        <v>3</v>
      </c>
      <c r="G127" s="556">
        <f t="shared" si="6"/>
        <v>240000</v>
      </c>
      <c r="H127" s="562"/>
    </row>
    <row r="128" spans="1:8" s="563" customFormat="1" x14ac:dyDescent="0.25">
      <c r="A128" s="568"/>
      <c r="B128" s="569"/>
      <c r="C128" s="323" t="s">
        <v>231</v>
      </c>
      <c r="D128" s="323">
        <v>1000000</v>
      </c>
      <c r="E128" s="323">
        <v>1</v>
      </c>
      <c r="F128" s="323">
        <v>3</v>
      </c>
      <c r="G128" s="556">
        <f t="shared" si="6"/>
        <v>3000000</v>
      </c>
      <c r="H128" s="562"/>
    </row>
    <row r="129" spans="1:8" s="563" customFormat="1" x14ac:dyDescent="0.25">
      <c r="A129" s="568"/>
      <c r="B129" s="569"/>
      <c r="C129" s="323" t="s">
        <v>97</v>
      </c>
      <c r="D129" s="323">
        <v>20000</v>
      </c>
      <c r="E129" s="323">
        <v>65</v>
      </c>
      <c r="F129" s="323">
        <v>3</v>
      </c>
      <c r="G129" s="556">
        <f t="shared" si="6"/>
        <v>3900000</v>
      </c>
      <c r="H129" s="562"/>
    </row>
    <row r="130" spans="1:8" s="563" customFormat="1" x14ac:dyDescent="0.25">
      <c r="A130" s="568"/>
      <c r="B130" s="569"/>
      <c r="C130" s="323" t="s">
        <v>756</v>
      </c>
      <c r="D130" s="323">
        <v>400000</v>
      </c>
      <c r="E130" s="323">
        <v>1</v>
      </c>
      <c r="F130" s="323">
        <v>1</v>
      </c>
      <c r="G130" s="556">
        <f t="shared" si="6"/>
        <v>400000</v>
      </c>
      <c r="H130" s="562"/>
    </row>
    <row r="131" spans="1:8" s="563" customFormat="1" x14ac:dyDescent="0.25">
      <c r="A131" s="568"/>
      <c r="B131" s="569"/>
      <c r="C131" s="323" t="s">
        <v>60</v>
      </c>
      <c r="D131" s="323">
        <v>1</v>
      </c>
      <c r="E131" s="323">
        <v>1</v>
      </c>
      <c r="F131" s="323">
        <v>1</v>
      </c>
      <c r="G131" s="556">
        <v>1110000</v>
      </c>
      <c r="H131" s="562"/>
    </row>
    <row r="132" spans="1:8" s="563" customFormat="1" x14ac:dyDescent="0.25">
      <c r="A132" s="568"/>
      <c r="B132" s="569"/>
      <c r="C132" s="323" t="s">
        <v>57</v>
      </c>
      <c r="D132" s="323">
        <v>40000</v>
      </c>
      <c r="E132" s="323">
        <v>7</v>
      </c>
      <c r="F132" s="323">
        <v>3</v>
      </c>
      <c r="G132" s="556">
        <f t="shared" si="6"/>
        <v>840000</v>
      </c>
      <c r="H132" s="562"/>
    </row>
    <row r="133" spans="1:8" s="563" customFormat="1" ht="16.5" thickBot="1" x14ac:dyDescent="0.3">
      <c r="A133" s="568"/>
      <c r="B133" s="569"/>
      <c r="C133" s="323" t="s">
        <v>59</v>
      </c>
      <c r="D133" s="323">
        <v>50000</v>
      </c>
      <c r="E133" s="323">
        <v>43</v>
      </c>
      <c r="F133" s="323">
        <v>1</v>
      </c>
      <c r="G133" s="556">
        <f t="shared" si="6"/>
        <v>2150000</v>
      </c>
      <c r="H133" s="562"/>
    </row>
    <row r="134" spans="1:8" s="563" customFormat="1" ht="16.5" thickBot="1" x14ac:dyDescent="0.3">
      <c r="A134" s="559"/>
      <c r="B134" s="560"/>
      <c r="C134" s="552"/>
      <c r="D134" s="552"/>
      <c r="E134" s="552"/>
      <c r="F134" s="552"/>
      <c r="G134" s="575">
        <f>SUM(G115:G133)</f>
        <v>18110000</v>
      </c>
      <c r="H134" s="562">
        <f>G134/8136</f>
        <v>2225.9095378564407</v>
      </c>
    </row>
    <row r="135" spans="1:8" s="546" customFormat="1" ht="31.5" x14ac:dyDescent="0.25">
      <c r="A135" s="543">
        <v>7</v>
      </c>
      <c r="B135" s="544" t="s">
        <v>1239</v>
      </c>
      <c r="C135" s="319" t="s">
        <v>39</v>
      </c>
      <c r="D135" s="319">
        <f>150000</f>
        <v>150000</v>
      </c>
      <c r="E135" s="319">
        <v>1</v>
      </c>
      <c r="F135" s="319">
        <v>1</v>
      </c>
      <c r="G135" s="545">
        <f>D135*E135*F135</f>
        <v>150000</v>
      </c>
      <c r="H135" s="112"/>
    </row>
    <row r="136" spans="1:8" s="539" customFormat="1" x14ac:dyDescent="0.25">
      <c r="A136" s="321"/>
      <c r="B136" s="547"/>
      <c r="C136" s="323" t="s">
        <v>1240</v>
      </c>
      <c r="D136" s="323">
        <v>170000</v>
      </c>
      <c r="E136" s="323">
        <v>1</v>
      </c>
      <c r="F136" s="323">
        <v>4</v>
      </c>
      <c r="G136" s="545">
        <f t="shared" ref="G136:G158" si="7">D136*E136*F136</f>
        <v>680000</v>
      </c>
      <c r="H136" s="290"/>
    </row>
    <row r="137" spans="1:8" s="539" customFormat="1" x14ac:dyDescent="0.25">
      <c r="A137" s="321"/>
      <c r="C137" s="323" t="s">
        <v>1241</v>
      </c>
      <c r="D137" s="323">
        <v>100000</v>
      </c>
      <c r="E137" s="323">
        <v>1</v>
      </c>
      <c r="F137" s="323">
        <v>5</v>
      </c>
      <c r="G137" s="545">
        <f t="shared" si="7"/>
        <v>500000</v>
      </c>
      <c r="H137" s="290"/>
    </row>
    <row r="138" spans="1:8" s="539" customFormat="1" x14ac:dyDescent="0.25">
      <c r="A138" s="321"/>
      <c r="C138" s="323" t="s">
        <v>762</v>
      </c>
      <c r="D138" s="323">
        <v>150000</v>
      </c>
      <c r="E138" s="323">
        <v>3</v>
      </c>
      <c r="F138" s="323">
        <v>4</v>
      </c>
      <c r="G138" s="545">
        <f t="shared" si="7"/>
        <v>1800000</v>
      </c>
      <c r="H138" s="290"/>
    </row>
    <row r="139" spans="1:8" s="539" customFormat="1" x14ac:dyDescent="0.25">
      <c r="A139" s="321"/>
      <c r="C139" s="323" t="s">
        <v>763</v>
      </c>
      <c r="D139" s="323">
        <v>100000</v>
      </c>
      <c r="E139" s="323">
        <v>3</v>
      </c>
      <c r="F139" s="323">
        <v>5</v>
      </c>
      <c r="G139" s="545">
        <f t="shared" si="7"/>
        <v>1500000</v>
      </c>
      <c r="H139" s="290"/>
    </row>
    <row r="140" spans="1:8" s="539" customFormat="1" x14ac:dyDescent="0.25">
      <c r="A140" s="321"/>
      <c r="C140" s="323" t="s">
        <v>1212</v>
      </c>
      <c r="D140" s="323">
        <v>150000</v>
      </c>
      <c r="E140" s="323">
        <v>1</v>
      </c>
      <c r="F140" s="323">
        <v>4</v>
      </c>
      <c r="G140" s="545">
        <f t="shared" si="7"/>
        <v>600000</v>
      </c>
      <c r="H140" s="290"/>
    </row>
    <row r="141" spans="1:8" s="539" customFormat="1" x14ac:dyDescent="0.25">
      <c r="A141" s="321"/>
      <c r="C141" s="323" t="s">
        <v>1213</v>
      </c>
      <c r="D141" s="323">
        <v>100000</v>
      </c>
      <c r="E141" s="323">
        <v>1</v>
      </c>
      <c r="F141" s="323">
        <v>5</v>
      </c>
      <c r="G141" s="545">
        <f t="shared" si="7"/>
        <v>500000</v>
      </c>
      <c r="H141" s="290"/>
    </row>
    <row r="142" spans="1:8" s="539" customFormat="1" x14ac:dyDescent="0.25">
      <c r="A142" s="321"/>
      <c r="C142" s="323" t="s">
        <v>1214</v>
      </c>
      <c r="D142" s="323">
        <v>150000</v>
      </c>
      <c r="E142" s="323">
        <v>12</v>
      </c>
      <c r="F142" s="323">
        <v>4</v>
      </c>
      <c r="G142" s="545">
        <f t="shared" si="7"/>
        <v>7200000</v>
      </c>
      <c r="H142" s="290"/>
    </row>
    <row r="143" spans="1:8" s="539" customFormat="1" x14ac:dyDescent="0.25">
      <c r="A143" s="321"/>
      <c r="C143" s="323" t="s">
        <v>1215</v>
      </c>
      <c r="D143" s="323">
        <v>100000</v>
      </c>
      <c r="E143" s="323">
        <v>12</v>
      </c>
      <c r="F143" s="323">
        <v>5</v>
      </c>
      <c r="G143" s="545">
        <f t="shared" si="7"/>
        <v>6000000</v>
      </c>
      <c r="H143" s="290"/>
    </row>
    <row r="144" spans="1:8" s="539" customFormat="1" x14ac:dyDescent="0.25">
      <c r="A144" s="321"/>
      <c r="C144" s="323"/>
      <c r="D144" s="323"/>
      <c r="E144" s="323"/>
      <c r="F144" s="323"/>
      <c r="G144" s="545">
        <f t="shared" si="7"/>
        <v>0</v>
      </c>
      <c r="H144" s="290"/>
    </row>
    <row r="145" spans="1:9" s="539" customFormat="1" x14ac:dyDescent="0.25">
      <c r="A145" s="321"/>
      <c r="C145" s="323" t="s">
        <v>1216</v>
      </c>
      <c r="D145" s="323">
        <v>0</v>
      </c>
      <c r="E145" s="323">
        <v>3</v>
      </c>
      <c r="F145" s="323">
        <v>3</v>
      </c>
      <c r="G145" s="545">
        <f t="shared" si="7"/>
        <v>0</v>
      </c>
      <c r="H145" s="290"/>
    </row>
    <row r="146" spans="1:9" s="539" customFormat="1" x14ac:dyDescent="0.25">
      <c r="A146" s="321"/>
      <c r="C146" s="323" t="s">
        <v>1217</v>
      </c>
      <c r="D146" s="323">
        <v>0</v>
      </c>
      <c r="E146" s="323">
        <v>10</v>
      </c>
      <c r="F146" s="323">
        <v>3</v>
      </c>
      <c r="G146" s="545">
        <f t="shared" si="7"/>
        <v>0</v>
      </c>
      <c r="H146" s="290"/>
    </row>
    <row r="147" spans="1:9" s="539" customFormat="1" x14ac:dyDescent="0.25">
      <c r="A147" s="321"/>
      <c r="C147" s="323" t="s">
        <v>1218</v>
      </c>
      <c r="D147" s="323">
        <v>0</v>
      </c>
      <c r="E147" s="323">
        <v>36</v>
      </c>
      <c r="F147" s="323">
        <v>3</v>
      </c>
      <c r="G147" s="545">
        <f t="shared" si="7"/>
        <v>0</v>
      </c>
      <c r="H147" s="290"/>
    </row>
    <row r="148" spans="1:9" s="301" customFormat="1" x14ac:dyDescent="0.25">
      <c r="A148" s="321"/>
      <c r="C148" s="323" t="s">
        <v>1242</v>
      </c>
      <c r="D148" s="323">
        <v>8000</v>
      </c>
      <c r="E148" s="323">
        <f>353/8</f>
        <v>44.125</v>
      </c>
      <c r="F148" s="323">
        <v>2</v>
      </c>
      <c r="G148" s="545">
        <f t="shared" si="7"/>
        <v>706000</v>
      </c>
      <c r="H148" s="548"/>
    </row>
    <row r="149" spans="1:9" s="301" customFormat="1" x14ac:dyDescent="0.25">
      <c r="A149" s="321"/>
      <c r="C149" s="323" t="s">
        <v>1220</v>
      </c>
      <c r="D149" s="323">
        <v>8000</v>
      </c>
      <c r="E149" s="323">
        <v>3</v>
      </c>
      <c r="F149" s="323">
        <v>10</v>
      </c>
      <c r="G149" s="545">
        <f t="shared" si="7"/>
        <v>240000</v>
      </c>
      <c r="H149" s="548"/>
    </row>
    <row r="150" spans="1:9" s="539" customFormat="1" x14ac:dyDescent="0.25">
      <c r="A150" s="321"/>
      <c r="C150" s="323" t="s">
        <v>1221</v>
      </c>
      <c r="D150" s="323">
        <v>240000</v>
      </c>
      <c r="E150" s="323">
        <v>4</v>
      </c>
      <c r="F150" s="323">
        <v>1</v>
      </c>
      <c r="G150" s="545">
        <f t="shared" si="7"/>
        <v>960000</v>
      </c>
      <c r="H150" s="290"/>
    </row>
    <row r="151" spans="1:9" s="539" customFormat="1" x14ac:dyDescent="0.25">
      <c r="A151" s="321"/>
      <c r="C151" s="546" t="s">
        <v>1222</v>
      </c>
      <c r="D151" s="323">
        <v>240000</v>
      </c>
      <c r="E151" s="323">
        <v>4</v>
      </c>
      <c r="F151" s="323">
        <v>1</v>
      </c>
      <c r="G151" s="545">
        <f t="shared" si="7"/>
        <v>960000</v>
      </c>
      <c r="H151" s="290"/>
    </row>
    <row r="152" spans="1:9" s="539" customFormat="1" x14ac:dyDescent="0.25">
      <c r="A152" s="321"/>
      <c r="C152" s="546" t="s">
        <v>1223</v>
      </c>
      <c r="D152" s="323">
        <v>80000</v>
      </c>
      <c r="E152" s="323">
        <v>1</v>
      </c>
      <c r="F152" s="323">
        <v>3</v>
      </c>
      <c r="G152" s="545">
        <f t="shared" si="7"/>
        <v>240000</v>
      </c>
      <c r="H152" s="290"/>
    </row>
    <row r="153" spans="1:9" s="539" customFormat="1" x14ac:dyDescent="0.25">
      <c r="A153" s="321"/>
      <c r="B153" s="327"/>
      <c r="C153" s="322" t="s">
        <v>231</v>
      </c>
      <c r="D153" s="323">
        <v>1000000</v>
      </c>
      <c r="E153" s="323">
        <v>1</v>
      </c>
      <c r="F153" s="323">
        <v>3</v>
      </c>
      <c r="G153" s="545">
        <f t="shared" si="7"/>
        <v>3000000</v>
      </c>
      <c r="H153" s="290"/>
    </row>
    <row r="154" spans="1:9" s="539" customFormat="1" x14ac:dyDescent="0.25">
      <c r="A154" s="321"/>
      <c r="B154" s="327"/>
      <c r="C154" s="322" t="s">
        <v>97</v>
      </c>
      <c r="D154" s="323">
        <v>20000</v>
      </c>
      <c r="E154" s="323">
        <v>65</v>
      </c>
      <c r="F154" s="323">
        <v>3</v>
      </c>
      <c r="G154" s="545">
        <f t="shared" si="7"/>
        <v>3900000</v>
      </c>
      <c r="H154" s="290"/>
    </row>
    <row r="155" spans="1:9" s="539" customFormat="1" x14ac:dyDescent="0.25">
      <c r="A155" s="321"/>
      <c r="B155" s="546"/>
      <c r="C155" s="322" t="s">
        <v>756</v>
      </c>
      <c r="D155" s="323">
        <v>400000</v>
      </c>
      <c r="E155" s="323">
        <v>1</v>
      </c>
      <c r="F155" s="323">
        <v>1</v>
      </c>
      <c r="G155" s="545">
        <f t="shared" si="7"/>
        <v>400000</v>
      </c>
      <c r="H155" s="290"/>
    </row>
    <row r="156" spans="1:9" s="549" customFormat="1" x14ac:dyDescent="0.25">
      <c r="A156" s="321"/>
      <c r="B156" s="327"/>
      <c r="C156" s="323" t="s">
        <v>60</v>
      </c>
      <c r="D156" s="323">
        <v>1</v>
      </c>
      <c r="E156" s="323">
        <v>1</v>
      </c>
      <c r="F156" s="323">
        <v>1</v>
      </c>
      <c r="G156" s="545">
        <v>1110000</v>
      </c>
      <c r="H156" s="413"/>
    </row>
    <row r="157" spans="1:9" s="539" customFormat="1" x14ac:dyDescent="0.25">
      <c r="A157" s="321"/>
      <c r="B157" s="546"/>
      <c r="C157" s="323" t="s">
        <v>57</v>
      </c>
      <c r="D157" s="323">
        <v>40000</v>
      </c>
      <c r="E157" s="323">
        <v>7</v>
      </c>
      <c r="F157" s="323">
        <v>3</v>
      </c>
      <c r="G157" s="545">
        <f t="shared" si="7"/>
        <v>840000</v>
      </c>
      <c r="H157" s="290"/>
    </row>
    <row r="158" spans="1:9" s="539" customFormat="1" x14ac:dyDescent="0.25">
      <c r="A158" s="321"/>
      <c r="C158" s="323" t="s">
        <v>59</v>
      </c>
      <c r="D158" s="323">
        <v>50000</v>
      </c>
      <c r="E158" s="323">
        <v>43</v>
      </c>
      <c r="F158" s="323">
        <v>1</v>
      </c>
      <c r="G158" s="545">
        <f t="shared" si="7"/>
        <v>2150000</v>
      </c>
      <c r="H158" s="290"/>
    </row>
    <row r="159" spans="1:9" s="546" customFormat="1" x14ac:dyDescent="0.25">
      <c r="A159" s="550"/>
      <c r="B159" s="551"/>
      <c r="C159" s="552"/>
      <c r="D159" s="552"/>
      <c r="E159" s="552"/>
      <c r="F159" s="552"/>
      <c r="G159" s="553">
        <f>SUM(G135:G158)</f>
        <v>33436000</v>
      </c>
      <c r="H159" s="112">
        <f>G159/8136</f>
        <v>4109.6361848574234</v>
      </c>
      <c r="I159" s="554">
        <f>SUM(H159)</f>
        <v>4109.6361848574234</v>
      </c>
    </row>
    <row r="160" spans="1:9" s="546" customFormat="1" ht="31.5" x14ac:dyDescent="0.25">
      <c r="A160" s="566">
        <v>8</v>
      </c>
      <c r="B160" s="576" t="s">
        <v>1243</v>
      </c>
      <c r="C160" s="323" t="s">
        <v>39</v>
      </c>
      <c r="D160" s="323">
        <f>150000</f>
        <v>150000</v>
      </c>
      <c r="E160" s="323">
        <v>1</v>
      </c>
      <c r="F160" s="323">
        <v>1</v>
      </c>
      <c r="G160" s="562">
        <f>D160*E160*F160</f>
        <v>150000</v>
      </c>
      <c r="H160" s="112"/>
      <c r="I160" s="554"/>
    </row>
    <row r="161" spans="1:9" s="546" customFormat="1" x14ac:dyDescent="0.25">
      <c r="A161" s="568"/>
      <c r="C161" s="323" t="s">
        <v>1244</v>
      </c>
      <c r="D161" s="323">
        <v>170000</v>
      </c>
      <c r="E161" s="323">
        <v>1</v>
      </c>
      <c r="F161" s="323">
        <v>4</v>
      </c>
      <c r="G161" s="562">
        <f t="shared" ref="G161:G182" si="8">D161*E161*F161</f>
        <v>680000</v>
      </c>
      <c r="H161" s="112"/>
      <c r="I161" s="554"/>
    </row>
    <row r="162" spans="1:9" s="546" customFormat="1" x14ac:dyDescent="0.25">
      <c r="A162" s="568"/>
      <c r="C162" s="323" t="s">
        <v>1245</v>
      </c>
      <c r="D162" s="323">
        <v>100000</v>
      </c>
      <c r="E162" s="323">
        <v>1</v>
      </c>
      <c r="F162" s="323">
        <v>5</v>
      </c>
      <c r="G162" s="562">
        <f t="shared" si="8"/>
        <v>500000</v>
      </c>
      <c r="H162" s="112"/>
      <c r="I162" s="554"/>
    </row>
    <row r="163" spans="1:9" s="546" customFormat="1" x14ac:dyDescent="0.25">
      <c r="A163" s="568"/>
      <c r="C163" s="323" t="s">
        <v>762</v>
      </c>
      <c r="D163" s="323">
        <v>150000</v>
      </c>
      <c r="E163" s="323">
        <v>3</v>
      </c>
      <c r="F163" s="323">
        <v>4</v>
      </c>
      <c r="G163" s="562">
        <f t="shared" si="8"/>
        <v>1800000</v>
      </c>
      <c r="H163" s="112"/>
      <c r="I163" s="554"/>
    </row>
    <row r="164" spans="1:9" s="546" customFormat="1" x14ac:dyDescent="0.25">
      <c r="A164" s="568"/>
      <c r="C164" s="323" t="s">
        <v>763</v>
      </c>
      <c r="D164" s="323">
        <v>100000</v>
      </c>
      <c r="E164" s="323">
        <v>3</v>
      </c>
      <c r="F164" s="323">
        <v>5</v>
      </c>
      <c r="G164" s="562">
        <f t="shared" si="8"/>
        <v>1500000</v>
      </c>
      <c r="H164" s="112"/>
      <c r="I164" s="554"/>
    </row>
    <row r="165" spans="1:9" s="546" customFormat="1" x14ac:dyDescent="0.25">
      <c r="A165" s="568"/>
      <c r="C165" s="323" t="s">
        <v>1212</v>
      </c>
      <c r="D165" s="323">
        <v>150000</v>
      </c>
      <c r="E165" s="323">
        <v>1</v>
      </c>
      <c r="F165" s="323">
        <v>4</v>
      </c>
      <c r="G165" s="562">
        <f t="shared" si="8"/>
        <v>600000</v>
      </c>
      <c r="H165" s="112"/>
      <c r="I165" s="554"/>
    </row>
    <row r="166" spans="1:9" s="546" customFormat="1" x14ac:dyDescent="0.25">
      <c r="A166" s="568"/>
      <c r="C166" s="323" t="s">
        <v>1213</v>
      </c>
      <c r="D166" s="323">
        <v>100000</v>
      </c>
      <c r="E166" s="323">
        <v>1</v>
      </c>
      <c r="F166" s="323">
        <v>5</v>
      </c>
      <c r="G166" s="562">
        <f t="shared" si="8"/>
        <v>500000</v>
      </c>
      <c r="H166" s="112"/>
      <c r="I166" s="554"/>
    </row>
    <row r="167" spans="1:9" s="546" customFormat="1" x14ac:dyDescent="0.25">
      <c r="A167" s="568"/>
      <c r="C167" s="323" t="s">
        <v>1214</v>
      </c>
      <c r="D167" s="323">
        <v>150000</v>
      </c>
      <c r="E167" s="323">
        <v>12</v>
      </c>
      <c r="F167" s="323">
        <v>4</v>
      </c>
      <c r="G167" s="562">
        <f t="shared" si="8"/>
        <v>7200000</v>
      </c>
      <c r="H167" s="112"/>
      <c r="I167" s="554"/>
    </row>
    <row r="168" spans="1:9" s="546" customFormat="1" x14ac:dyDescent="0.25">
      <c r="A168" s="568"/>
      <c r="C168" s="323" t="s">
        <v>1215</v>
      </c>
      <c r="D168" s="323">
        <v>100000</v>
      </c>
      <c r="E168" s="323">
        <v>12</v>
      </c>
      <c r="F168" s="323">
        <v>5</v>
      </c>
      <c r="G168" s="562">
        <f t="shared" si="8"/>
        <v>6000000</v>
      </c>
      <c r="H168" s="112"/>
      <c r="I168" s="554"/>
    </row>
    <row r="169" spans="1:9" s="546" customFormat="1" x14ac:dyDescent="0.25">
      <c r="A169" s="568"/>
      <c r="C169" s="323" t="s">
        <v>1216</v>
      </c>
      <c r="D169" s="323">
        <v>0</v>
      </c>
      <c r="E169" s="323">
        <v>3</v>
      </c>
      <c r="F169" s="323">
        <v>3</v>
      </c>
      <c r="G169" s="562">
        <f t="shared" si="8"/>
        <v>0</v>
      </c>
      <c r="H169" s="112"/>
      <c r="I169" s="554"/>
    </row>
    <row r="170" spans="1:9" s="546" customFormat="1" x14ac:dyDescent="0.25">
      <c r="A170" s="568"/>
      <c r="C170" s="323" t="s">
        <v>1217</v>
      </c>
      <c r="D170" s="323">
        <v>0</v>
      </c>
      <c r="E170" s="323">
        <v>10</v>
      </c>
      <c r="F170" s="323">
        <v>3</v>
      </c>
      <c r="G170" s="562">
        <f t="shared" si="8"/>
        <v>0</v>
      </c>
      <c r="H170" s="112"/>
      <c r="I170" s="554"/>
    </row>
    <row r="171" spans="1:9" s="546" customFormat="1" x14ac:dyDescent="0.25">
      <c r="A171" s="568"/>
      <c r="C171" s="323" t="s">
        <v>1218</v>
      </c>
      <c r="D171" s="323">
        <v>0</v>
      </c>
      <c r="E171" s="323">
        <v>36</v>
      </c>
      <c r="F171" s="323">
        <v>3</v>
      </c>
      <c r="G171" s="562">
        <f t="shared" si="8"/>
        <v>0</v>
      </c>
      <c r="H171" s="112"/>
      <c r="I171" s="554"/>
    </row>
    <row r="172" spans="1:9" s="546" customFormat="1" x14ac:dyDescent="0.25">
      <c r="A172" s="568"/>
      <c r="C172" s="323" t="s">
        <v>1246</v>
      </c>
      <c r="D172" s="323">
        <v>8000</v>
      </c>
      <c r="E172" s="323">
        <f>469/8</f>
        <v>58.625</v>
      </c>
      <c r="F172" s="323">
        <v>2</v>
      </c>
      <c r="G172" s="562">
        <f t="shared" si="8"/>
        <v>938000</v>
      </c>
      <c r="H172" s="112"/>
      <c r="I172" s="554"/>
    </row>
    <row r="173" spans="1:9" s="546" customFormat="1" x14ac:dyDescent="0.25">
      <c r="A173" s="568"/>
      <c r="C173" s="323" t="s">
        <v>1220</v>
      </c>
      <c r="D173" s="323">
        <v>8000</v>
      </c>
      <c r="E173" s="323">
        <v>3</v>
      </c>
      <c r="F173" s="323">
        <v>10</v>
      </c>
      <c r="G173" s="562">
        <f t="shared" si="8"/>
        <v>240000</v>
      </c>
      <c r="H173" s="112"/>
      <c r="I173" s="554"/>
    </row>
    <row r="174" spans="1:9" s="546" customFormat="1" x14ac:dyDescent="0.25">
      <c r="A174" s="568"/>
      <c r="C174" s="323" t="s">
        <v>1221</v>
      </c>
      <c r="D174" s="323">
        <v>240000</v>
      </c>
      <c r="E174" s="323">
        <v>4</v>
      </c>
      <c r="F174" s="323">
        <v>1</v>
      </c>
      <c r="G174" s="562">
        <f t="shared" si="8"/>
        <v>960000</v>
      </c>
      <c r="H174" s="112"/>
      <c r="I174" s="554"/>
    </row>
    <row r="175" spans="1:9" s="546" customFormat="1" x14ac:dyDescent="0.25">
      <c r="A175" s="568"/>
      <c r="C175" s="323" t="s">
        <v>1222</v>
      </c>
      <c r="D175" s="323">
        <v>240000</v>
      </c>
      <c r="E175" s="323">
        <v>4</v>
      </c>
      <c r="F175" s="323">
        <v>1</v>
      </c>
      <c r="G175" s="562">
        <f t="shared" si="8"/>
        <v>960000</v>
      </c>
      <c r="H175" s="112"/>
      <c r="I175" s="554"/>
    </row>
    <row r="176" spans="1:9" s="546" customFormat="1" x14ac:dyDescent="0.25">
      <c r="A176" s="568"/>
      <c r="C176" s="323" t="s">
        <v>1223</v>
      </c>
      <c r="D176" s="323">
        <v>80000</v>
      </c>
      <c r="E176" s="323">
        <v>1</v>
      </c>
      <c r="F176" s="323">
        <v>3</v>
      </c>
      <c r="G176" s="562">
        <f t="shared" si="8"/>
        <v>240000</v>
      </c>
      <c r="H176" s="112"/>
      <c r="I176" s="554"/>
    </row>
    <row r="177" spans="1:9" s="546" customFormat="1" x14ac:dyDescent="0.25">
      <c r="A177" s="568"/>
      <c r="C177" s="323" t="s">
        <v>231</v>
      </c>
      <c r="D177" s="323">
        <v>1000000</v>
      </c>
      <c r="E177" s="323">
        <v>1</v>
      </c>
      <c r="F177" s="323">
        <v>3</v>
      </c>
      <c r="G177" s="562">
        <f t="shared" si="8"/>
        <v>3000000</v>
      </c>
      <c r="H177" s="112"/>
      <c r="I177" s="554"/>
    </row>
    <row r="178" spans="1:9" s="546" customFormat="1" x14ac:dyDescent="0.25">
      <c r="A178" s="568"/>
      <c r="C178" s="323" t="s">
        <v>97</v>
      </c>
      <c r="D178" s="323">
        <v>20000</v>
      </c>
      <c r="E178" s="323">
        <v>65</v>
      </c>
      <c r="F178" s="323">
        <v>3</v>
      </c>
      <c r="G178" s="562">
        <f t="shared" si="8"/>
        <v>3900000</v>
      </c>
      <c r="H178" s="112"/>
      <c r="I178" s="554"/>
    </row>
    <row r="179" spans="1:9" s="546" customFormat="1" x14ac:dyDescent="0.25">
      <c r="A179" s="568"/>
      <c r="C179" s="323" t="s">
        <v>756</v>
      </c>
      <c r="D179" s="323">
        <v>400000</v>
      </c>
      <c r="E179" s="323">
        <v>1</v>
      </c>
      <c r="F179" s="323">
        <v>1</v>
      </c>
      <c r="G179" s="562">
        <f t="shared" si="8"/>
        <v>400000</v>
      </c>
      <c r="H179" s="112"/>
      <c r="I179" s="554"/>
    </row>
    <row r="180" spans="1:9" s="546" customFormat="1" x14ac:dyDescent="0.25">
      <c r="A180" s="568"/>
      <c r="C180" s="323" t="s">
        <v>60</v>
      </c>
      <c r="D180" s="323">
        <v>1</v>
      </c>
      <c r="E180" s="323">
        <v>1</v>
      </c>
      <c r="F180" s="323">
        <v>1</v>
      </c>
      <c r="G180" s="562">
        <v>1110000</v>
      </c>
      <c r="H180" s="112"/>
      <c r="I180" s="554"/>
    </row>
    <row r="181" spans="1:9" s="546" customFormat="1" x14ac:dyDescent="0.25">
      <c r="A181" s="568"/>
      <c r="C181" s="323" t="s">
        <v>57</v>
      </c>
      <c r="D181" s="323">
        <v>40000</v>
      </c>
      <c r="E181" s="323">
        <v>7</v>
      </c>
      <c r="F181" s="323">
        <v>3</v>
      </c>
      <c r="G181" s="562">
        <f t="shared" si="8"/>
        <v>840000</v>
      </c>
      <c r="H181" s="112"/>
      <c r="I181" s="554"/>
    </row>
    <row r="182" spans="1:9" s="546" customFormat="1" x14ac:dyDescent="0.25">
      <c r="A182" s="568"/>
      <c r="C182" s="323" t="s">
        <v>59</v>
      </c>
      <c r="D182" s="323">
        <v>50000</v>
      </c>
      <c r="E182" s="323">
        <v>43</v>
      </c>
      <c r="F182" s="323">
        <v>1</v>
      </c>
      <c r="G182" s="562">
        <f t="shared" si="8"/>
        <v>2150000</v>
      </c>
      <c r="H182" s="112"/>
      <c r="I182" s="554"/>
    </row>
    <row r="183" spans="1:9" s="546" customFormat="1" x14ac:dyDescent="0.25">
      <c r="A183" s="559"/>
      <c r="B183" s="551"/>
      <c r="C183" s="552"/>
      <c r="D183" s="552"/>
      <c r="E183" s="552"/>
      <c r="F183" s="552"/>
      <c r="G183" s="577">
        <f>SUM(G160:G182)</f>
        <v>33668000</v>
      </c>
      <c r="H183" s="112">
        <f>G183/8136</f>
        <v>4138.1514257620456</v>
      </c>
      <c r="I183" s="554"/>
    </row>
    <row r="184" spans="1:9" s="546" customFormat="1" ht="31.5" x14ac:dyDescent="0.25">
      <c r="A184" s="566">
        <v>9</v>
      </c>
      <c r="B184" s="576" t="s">
        <v>1247</v>
      </c>
      <c r="C184" s="323" t="s">
        <v>39</v>
      </c>
      <c r="D184" s="323">
        <f>150000</f>
        <v>150000</v>
      </c>
      <c r="E184" s="323">
        <v>1</v>
      </c>
      <c r="F184" s="323">
        <v>1</v>
      </c>
      <c r="G184" s="562">
        <f>D184*E184*F184</f>
        <v>150000</v>
      </c>
      <c r="H184" s="112"/>
      <c r="I184" s="554"/>
    </row>
    <row r="185" spans="1:9" s="546" customFormat="1" x14ac:dyDescent="0.25">
      <c r="A185" s="568"/>
      <c r="C185" s="323" t="s">
        <v>1248</v>
      </c>
      <c r="D185" s="323">
        <v>170000</v>
      </c>
      <c r="E185" s="323">
        <v>1</v>
      </c>
      <c r="F185" s="323">
        <v>4</v>
      </c>
      <c r="G185" s="562">
        <f t="shared" ref="G185:G206" si="9">D185*E185*F185</f>
        <v>680000</v>
      </c>
      <c r="H185" s="112"/>
      <c r="I185" s="554"/>
    </row>
    <row r="186" spans="1:9" s="546" customFormat="1" x14ac:dyDescent="0.25">
      <c r="A186" s="568"/>
      <c r="C186" s="323" t="s">
        <v>1249</v>
      </c>
      <c r="D186" s="323">
        <v>100000</v>
      </c>
      <c r="E186" s="323">
        <v>1</v>
      </c>
      <c r="F186" s="323">
        <v>5</v>
      </c>
      <c r="G186" s="562">
        <f t="shared" si="9"/>
        <v>500000</v>
      </c>
      <c r="H186" s="112"/>
      <c r="I186" s="554"/>
    </row>
    <row r="187" spans="1:9" s="546" customFormat="1" x14ac:dyDescent="0.25">
      <c r="A187" s="568"/>
      <c r="C187" s="323" t="s">
        <v>762</v>
      </c>
      <c r="D187" s="323">
        <v>150000</v>
      </c>
      <c r="E187" s="323">
        <v>3</v>
      </c>
      <c r="F187" s="323">
        <v>4</v>
      </c>
      <c r="G187" s="562">
        <f t="shared" si="9"/>
        <v>1800000</v>
      </c>
      <c r="H187" s="112"/>
      <c r="I187" s="554"/>
    </row>
    <row r="188" spans="1:9" s="546" customFormat="1" x14ac:dyDescent="0.25">
      <c r="A188" s="568"/>
      <c r="C188" s="323" t="s">
        <v>763</v>
      </c>
      <c r="D188" s="323">
        <v>100000</v>
      </c>
      <c r="E188" s="323">
        <v>3</v>
      </c>
      <c r="F188" s="323">
        <v>5</v>
      </c>
      <c r="G188" s="562">
        <f t="shared" si="9"/>
        <v>1500000</v>
      </c>
      <c r="H188" s="112"/>
      <c r="I188" s="554"/>
    </row>
    <row r="189" spans="1:9" s="546" customFormat="1" x14ac:dyDescent="0.25">
      <c r="A189" s="568"/>
      <c r="C189" s="323" t="s">
        <v>1212</v>
      </c>
      <c r="D189" s="323">
        <v>150000</v>
      </c>
      <c r="E189" s="323">
        <v>1</v>
      </c>
      <c r="F189" s="323">
        <v>4</v>
      </c>
      <c r="G189" s="562">
        <f t="shared" si="9"/>
        <v>600000</v>
      </c>
      <c r="H189" s="112"/>
      <c r="I189" s="554"/>
    </row>
    <row r="190" spans="1:9" s="546" customFormat="1" x14ac:dyDescent="0.25">
      <c r="A190" s="568"/>
      <c r="C190" s="323" t="s">
        <v>1213</v>
      </c>
      <c r="D190" s="323">
        <v>100000</v>
      </c>
      <c r="E190" s="323">
        <v>1</v>
      </c>
      <c r="F190" s="323">
        <v>5</v>
      </c>
      <c r="G190" s="562">
        <f t="shared" si="9"/>
        <v>500000</v>
      </c>
      <c r="H190" s="112"/>
      <c r="I190" s="554"/>
    </row>
    <row r="191" spans="1:9" s="546" customFormat="1" x14ac:dyDescent="0.25">
      <c r="A191" s="568"/>
      <c r="C191" s="323" t="s">
        <v>1214</v>
      </c>
      <c r="D191" s="323">
        <v>150000</v>
      </c>
      <c r="E191" s="323">
        <v>12</v>
      </c>
      <c r="F191" s="323">
        <v>4</v>
      </c>
      <c r="G191" s="562">
        <f t="shared" si="9"/>
        <v>7200000</v>
      </c>
      <c r="H191" s="112"/>
      <c r="I191" s="554"/>
    </row>
    <row r="192" spans="1:9" s="546" customFormat="1" x14ac:dyDescent="0.25">
      <c r="A192" s="568"/>
      <c r="C192" s="323" t="s">
        <v>1215</v>
      </c>
      <c r="D192" s="323">
        <v>100000</v>
      </c>
      <c r="E192" s="323">
        <v>12</v>
      </c>
      <c r="F192" s="323">
        <v>5</v>
      </c>
      <c r="G192" s="562">
        <f t="shared" si="9"/>
        <v>6000000</v>
      </c>
      <c r="H192" s="112"/>
      <c r="I192" s="554"/>
    </row>
    <row r="193" spans="1:9" s="546" customFormat="1" x14ac:dyDescent="0.25">
      <c r="A193" s="568"/>
      <c r="C193" s="323" t="s">
        <v>1216</v>
      </c>
      <c r="D193" s="323">
        <v>0</v>
      </c>
      <c r="E193" s="323">
        <v>3</v>
      </c>
      <c r="F193" s="323">
        <v>3</v>
      </c>
      <c r="G193" s="562">
        <f t="shared" si="9"/>
        <v>0</v>
      </c>
      <c r="H193" s="112"/>
      <c r="I193" s="554"/>
    </row>
    <row r="194" spans="1:9" s="546" customFormat="1" x14ac:dyDescent="0.25">
      <c r="A194" s="568"/>
      <c r="C194" s="323" t="s">
        <v>1217</v>
      </c>
      <c r="D194" s="323">
        <v>0</v>
      </c>
      <c r="E194" s="323">
        <v>10</v>
      </c>
      <c r="F194" s="323">
        <v>3</v>
      </c>
      <c r="G194" s="562">
        <f t="shared" si="9"/>
        <v>0</v>
      </c>
      <c r="H194" s="112"/>
      <c r="I194" s="554"/>
    </row>
    <row r="195" spans="1:9" s="546" customFormat="1" x14ac:dyDescent="0.25">
      <c r="A195" s="568"/>
      <c r="C195" s="323" t="s">
        <v>1218</v>
      </c>
      <c r="D195" s="323">
        <v>0</v>
      </c>
      <c r="E195" s="323">
        <v>36</v>
      </c>
      <c r="F195" s="323">
        <v>3</v>
      </c>
      <c r="G195" s="562">
        <f t="shared" si="9"/>
        <v>0</v>
      </c>
      <c r="H195" s="112"/>
      <c r="I195" s="554"/>
    </row>
    <row r="196" spans="1:9" s="546" customFormat="1" x14ac:dyDescent="0.25">
      <c r="A196" s="568"/>
      <c r="C196" s="323" t="s">
        <v>1250</v>
      </c>
      <c r="D196" s="323">
        <v>8000</v>
      </c>
      <c r="E196" s="323">
        <f>675/8</f>
        <v>84.375</v>
      </c>
      <c r="F196" s="323">
        <v>2</v>
      </c>
      <c r="G196" s="562">
        <f t="shared" si="9"/>
        <v>1350000</v>
      </c>
      <c r="H196" s="112"/>
      <c r="I196" s="554"/>
    </row>
    <row r="197" spans="1:9" s="546" customFormat="1" x14ac:dyDescent="0.25">
      <c r="A197" s="568"/>
      <c r="C197" s="323" t="s">
        <v>1220</v>
      </c>
      <c r="D197" s="323">
        <v>8000</v>
      </c>
      <c r="E197" s="323">
        <v>3</v>
      </c>
      <c r="F197" s="323">
        <v>10</v>
      </c>
      <c r="G197" s="562">
        <f t="shared" si="9"/>
        <v>240000</v>
      </c>
      <c r="H197" s="112"/>
      <c r="I197" s="554"/>
    </row>
    <row r="198" spans="1:9" s="546" customFormat="1" x14ac:dyDescent="0.25">
      <c r="A198" s="568"/>
      <c r="C198" s="323" t="s">
        <v>1221</v>
      </c>
      <c r="D198" s="323">
        <v>240000</v>
      </c>
      <c r="E198" s="323">
        <v>4</v>
      </c>
      <c r="F198" s="323">
        <v>1</v>
      </c>
      <c r="G198" s="562">
        <f t="shared" si="9"/>
        <v>960000</v>
      </c>
      <c r="H198" s="112"/>
      <c r="I198" s="554"/>
    </row>
    <row r="199" spans="1:9" s="546" customFormat="1" x14ac:dyDescent="0.25">
      <c r="A199" s="568"/>
      <c r="C199" s="323" t="s">
        <v>1222</v>
      </c>
      <c r="D199" s="323">
        <v>240000</v>
      </c>
      <c r="E199" s="323">
        <v>4</v>
      </c>
      <c r="F199" s="323">
        <v>1</v>
      </c>
      <c r="G199" s="562">
        <f t="shared" si="9"/>
        <v>960000</v>
      </c>
      <c r="H199" s="112"/>
      <c r="I199" s="554"/>
    </row>
    <row r="200" spans="1:9" s="546" customFormat="1" x14ac:dyDescent="0.25">
      <c r="A200" s="568"/>
      <c r="C200" s="323" t="s">
        <v>1223</v>
      </c>
      <c r="D200" s="323">
        <v>80000</v>
      </c>
      <c r="E200" s="323">
        <v>1</v>
      </c>
      <c r="F200" s="323">
        <v>3</v>
      </c>
      <c r="G200" s="562">
        <f t="shared" si="9"/>
        <v>240000</v>
      </c>
      <c r="H200" s="112"/>
      <c r="I200" s="554"/>
    </row>
    <row r="201" spans="1:9" s="546" customFormat="1" x14ac:dyDescent="0.25">
      <c r="A201" s="568"/>
      <c r="C201" s="323" t="s">
        <v>231</v>
      </c>
      <c r="D201" s="323">
        <v>1000000</v>
      </c>
      <c r="E201" s="323">
        <v>1</v>
      </c>
      <c r="F201" s="323">
        <v>3</v>
      </c>
      <c r="G201" s="562">
        <f t="shared" si="9"/>
        <v>3000000</v>
      </c>
      <c r="H201" s="112"/>
      <c r="I201" s="554"/>
    </row>
    <row r="202" spans="1:9" s="546" customFormat="1" x14ac:dyDescent="0.25">
      <c r="A202" s="568"/>
      <c r="C202" s="323" t="s">
        <v>97</v>
      </c>
      <c r="D202" s="323">
        <v>20000</v>
      </c>
      <c r="E202" s="323">
        <v>65</v>
      </c>
      <c r="F202" s="323">
        <v>3</v>
      </c>
      <c r="G202" s="562">
        <f t="shared" si="9"/>
        <v>3900000</v>
      </c>
      <c r="H202" s="112"/>
      <c r="I202" s="554"/>
    </row>
    <row r="203" spans="1:9" s="546" customFormat="1" x14ac:dyDescent="0.25">
      <c r="A203" s="568"/>
      <c r="C203" s="323" t="s">
        <v>756</v>
      </c>
      <c r="D203" s="323">
        <v>400000</v>
      </c>
      <c r="E203" s="323">
        <v>1</v>
      </c>
      <c r="F203" s="323">
        <v>1</v>
      </c>
      <c r="G203" s="562">
        <f t="shared" si="9"/>
        <v>400000</v>
      </c>
      <c r="H203" s="112"/>
      <c r="I203" s="554"/>
    </row>
    <row r="204" spans="1:9" s="546" customFormat="1" x14ac:dyDescent="0.25">
      <c r="A204" s="568"/>
      <c r="C204" s="323" t="s">
        <v>60</v>
      </c>
      <c r="D204" s="323">
        <v>1</v>
      </c>
      <c r="E204" s="323">
        <v>1</v>
      </c>
      <c r="F204" s="323">
        <v>1</v>
      </c>
      <c r="G204" s="562">
        <v>1110000</v>
      </c>
      <c r="H204" s="112"/>
      <c r="I204" s="554"/>
    </row>
    <row r="205" spans="1:9" s="546" customFormat="1" x14ac:dyDescent="0.25">
      <c r="A205" s="568"/>
      <c r="C205" s="323" t="s">
        <v>57</v>
      </c>
      <c r="D205" s="323">
        <v>40000</v>
      </c>
      <c r="E205" s="323">
        <v>7</v>
      </c>
      <c r="F205" s="323">
        <v>3</v>
      </c>
      <c r="G205" s="562">
        <f t="shared" si="9"/>
        <v>840000</v>
      </c>
      <c r="H205" s="112"/>
      <c r="I205" s="554"/>
    </row>
    <row r="206" spans="1:9" s="546" customFormat="1" x14ac:dyDescent="0.25">
      <c r="A206" s="568"/>
      <c r="C206" s="323" t="s">
        <v>59</v>
      </c>
      <c r="D206" s="323">
        <v>50000</v>
      </c>
      <c r="E206" s="323">
        <v>43</v>
      </c>
      <c r="F206" s="323">
        <v>1</v>
      </c>
      <c r="G206" s="562">
        <f t="shared" si="9"/>
        <v>2150000</v>
      </c>
      <c r="H206" s="112"/>
      <c r="I206" s="554"/>
    </row>
    <row r="207" spans="1:9" s="546" customFormat="1" x14ac:dyDescent="0.25">
      <c r="A207" s="571"/>
      <c r="B207" s="578"/>
      <c r="C207" s="573"/>
      <c r="D207" s="573"/>
      <c r="E207" s="573"/>
      <c r="F207" s="573"/>
      <c r="G207" s="579">
        <f>SUM(G184:G206)</f>
        <v>34080000</v>
      </c>
      <c r="H207" s="112">
        <f>G207/8136</f>
        <v>4188.7905604719763</v>
      </c>
      <c r="I207" s="554"/>
    </row>
    <row r="208" spans="1:9" s="546" customFormat="1" ht="31.5" x14ac:dyDescent="0.25">
      <c r="A208" s="566">
        <v>10</v>
      </c>
      <c r="B208" s="576" t="s">
        <v>1251</v>
      </c>
      <c r="C208" s="323" t="s">
        <v>39</v>
      </c>
      <c r="D208" s="323">
        <f>150000</f>
        <v>150000</v>
      </c>
      <c r="E208" s="323">
        <v>1</v>
      </c>
      <c r="F208" s="323">
        <v>1</v>
      </c>
      <c r="G208" s="562">
        <f>D208*E208*F208</f>
        <v>150000</v>
      </c>
      <c r="H208" s="112"/>
      <c r="I208" s="554"/>
    </row>
    <row r="209" spans="1:9" s="546" customFormat="1" x14ac:dyDescent="0.25">
      <c r="A209" s="568"/>
      <c r="C209" s="323" t="s">
        <v>1252</v>
      </c>
      <c r="D209" s="323">
        <v>170000</v>
      </c>
      <c r="E209" s="323">
        <v>1</v>
      </c>
      <c r="F209" s="323">
        <v>6</v>
      </c>
      <c r="G209" s="562">
        <f t="shared" ref="G209:G230" si="10">D209*E209*F209</f>
        <v>1020000</v>
      </c>
      <c r="H209" s="112"/>
      <c r="I209" s="554"/>
    </row>
    <row r="210" spans="1:9" s="546" customFormat="1" x14ac:dyDescent="0.25">
      <c r="A210" s="568"/>
      <c r="C210" s="323" t="s">
        <v>1253</v>
      </c>
      <c r="D210" s="323">
        <v>100000</v>
      </c>
      <c r="E210" s="323">
        <v>1</v>
      </c>
      <c r="F210" s="323">
        <v>7</v>
      </c>
      <c r="G210" s="562">
        <f t="shared" si="10"/>
        <v>700000</v>
      </c>
      <c r="H210" s="112"/>
      <c r="I210" s="554"/>
    </row>
    <row r="211" spans="1:9" s="546" customFormat="1" x14ac:dyDescent="0.25">
      <c r="A211" s="568"/>
      <c r="C211" s="323" t="s">
        <v>762</v>
      </c>
      <c r="D211" s="323">
        <v>150000</v>
      </c>
      <c r="E211" s="323">
        <v>3</v>
      </c>
      <c r="F211" s="323">
        <v>6</v>
      </c>
      <c r="G211" s="562">
        <f t="shared" si="10"/>
        <v>2700000</v>
      </c>
      <c r="H211" s="112"/>
      <c r="I211" s="554"/>
    </row>
    <row r="212" spans="1:9" s="546" customFormat="1" x14ac:dyDescent="0.25">
      <c r="A212" s="568"/>
      <c r="C212" s="323" t="s">
        <v>763</v>
      </c>
      <c r="D212" s="323">
        <v>100000</v>
      </c>
      <c r="E212" s="323">
        <v>3</v>
      </c>
      <c r="F212" s="323">
        <v>7</v>
      </c>
      <c r="G212" s="562">
        <f t="shared" si="10"/>
        <v>2100000</v>
      </c>
      <c r="H212" s="112"/>
      <c r="I212" s="554"/>
    </row>
    <row r="213" spans="1:9" s="546" customFormat="1" x14ac:dyDescent="0.25">
      <c r="A213" s="568"/>
      <c r="C213" s="323" t="s">
        <v>1212</v>
      </c>
      <c r="D213" s="323">
        <v>150000</v>
      </c>
      <c r="E213" s="323">
        <v>1</v>
      </c>
      <c r="F213" s="323">
        <v>6</v>
      </c>
      <c r="G213" s="562">
        <f t="shared" si="10"/>
        <v>900000</v>
      </c>
      <c r="H213" s="112"/>
      <c r="I213" s="554"/>
    </row>
    <row r="214" spans="1:9" s="546" customFormat="1" x14ac:dyDescent="0.25">
      <c r="A214" s="568"/>
      <c r="C214" s="323" t="s">
        <v>1213</v>
      </c>
      <c r="D214" s="323">
        <v>100000</v>
      </c>
      <c r="E214" s="323">
        <v>1</v>
      </c>
      <c r="F214" s="323">
        <v>7</v>
      </c>
      <c r="G214" s="562">
        <f t="shared" si="10"/>
        <v>700000</v>
      </c>
      <c r="H214" s="112"/>
      <c r="I214" s="554"/>
    </row>
    <row r="215" spans="1:9" s="546" customFormat="1" x14ac:dyDescent="0.25">
      <c r="A215" s="568"/>
      <c r="C215" s="323" t="s">
        <v>1214</v>
      </c>
      <c r="D215" s="323">
        <v>150000</v>
      </c>
      <c r="E215" s="323">
        <v>12</v>
      </c>
      <c r="F215" s="323">
        <v>4</v>
      </c>
      <c r="G215" s="562">
        <f t="shared" si="10"/>
        <v>7200000</v>
      </c>
      <c r="H215" s="112"/>
      <c r="I215" s="554"/>
    </row>
    <row r="216" spans="1:9" s="546" customFormat="1" x14ac:dyDescent="0.25">
      <c r="A216" s="568"/>
      <c r="C216" s="323" t="s">
        <v>1215</v>
      </c>
      <c r="D216" s="323">
        <v>100000</v>
      </c>
      <c r="E216" s="323">
        <v>12</v>
      </c>
      <c r="F216" s="323">
        <v>5</v>
      </c>
      <c r="G216" s="562">
        <f t="shared" si="10"/>
        <v>6000000</v>
      </c>
      <c r="H216" s="112"/>
      <c r="I216" s="554"/>
    </row>
    <row r="217" spans="1:9" s="546" customFormat="1" x14ac:dyDescent="0.25">
      <c r="A217" s="568"/>
      <c r="C217" s="323" t="s">
        <v>1216</v>
      </c>
      <c r="D217" s="323">
        <v>0</v>
      </c>
      <c r="E217" s="323">
        <v>3</v>
      </c>
      <c r="F217" s="323">
        <v>3</v>
      </c>
      <c r="G217" s="562">
        <f t="shared" si="10"/>
        <v>0</v>
      </c>
      <c r="H217" s="112"/>
      <c r="I217" s="554"/>
    </row>
    <row r="218" spans="1:9" s="546" customFormat="1" x14ac:dyDescent="0.25">
      <c r="A218" s="568"/>
      <c r="C218" s="323" t="s">
        <v>1217</v>
      </c>
      <c r="D218" s="323">
        <v>0</v>
      </c>
      <c r="E218" s="323">
        <v>10</v>
      </c>
      <c r="F218" s="323">
        <v>3</v>
      </c>
      <c r="G218" s="562">
        <f t="shared" si="10"/>
        <v>0</v>
      </c>
      <c r="H218" s="112"/>
      <c r="I218" s="554"/>
    </row>
    <row r="219" spans="1:9" s="546" customFormat="1" x14ac:dyDescent="0.25">
      <c r="A219" s="568"/>
      <c r="C219" s="323" t="s">
        <v>1218</v>
      </c>
      <c r="D219" s="323">
        <v>0</v>
      </c>
      <c r="E219" s="323">
        <v>36</v>
      </c>
      <c r="F219" s="323">
        <v>3</v>
      </c>
      <c r="G219" s="562">
        <f t="shared" si="10"/>
        <v>0</v>
      </c>
      <c r="H219" s="112"/>
      <c r="I219" s="554"/>
    </row>
    <row r="220" spans="1:9" s="546" customFormat="1" x14ac:dyDescent="0.25">
      <c r="A220" s="568"/>
      <c r="C220" s="323" t="s">
        <v>1254</v>
      </c>
      <c r="D220" s="323">
        <v>8000</v>
      </c>
      <c r="E220" s="323">
        <f>887/8</f>
        <v>110.875</v>
      </c>
      <c r="F220" s="323">
        <v>2</v>
      </c>
      <c r="G220" s="562">
        <f t="shared" si="10"/>
        <v>1774000</v>
      </c>
      <c r="H220" s="112"/>
      <c r="I220" s="554"/>
    </row>
    <row r="221" spans="1:9" s="546" customFormat="1" x14ac:dyDescent="0.25">
      <c r="A221" s="568"/>
      <c r="C221" s="323" t="s">
        <v>1220</v>
      </c>
      <c r="D221" s="323">
        <v>8000</v>
      </c>
      <c r="E221" s="323">
        <v>3</v>
      </c>
      <c r="F221" s="323">
        <v>10</v>
      </c>
      <c r="G221" s="562">
        <f t="shared" si="10"/>
        <v>240000</v>
      </c>
      <c r="H221" s="112"/>
      <c r="I221" s="554"/>
    </row>
    <row r="222" spans="1:9" s="546" customFormat="1" x14ac:dyDescent="0.25">
      <c r="A222" s="568"/>
      <c r="C222" s="323" t="s">
        <v>1221</v>
      </c>
      <c r="D222" s="323">
        <v>240000</v>
      </c>
      <c r="E222" s="323">
        <v>4</v>
      </c>
      <c r="F222" s="323">
        <v>1</v>
      </c>
      <c r="G222" s="562">
        <f t="shared" si="10"/>
        <v>960000</v>
      </c>
      <c r="H222" s="112"/>
      <c r="I222" s="554"/>
    </row>
    <row r="223" spans="1:9" s="546" customFormat="1" x14ac:dyDescent="0.25">
      <c r="A223" s="568"/>
      <c r="C223" s="323" t="s">
        <v>1222</v>
      </c>
      <c r="D223" s="323">
        <v>240000</v>
      </c>
      <c r="E223" s="323">
        <v>4</v>
      </c>
      <c r="F223" s="323">
        <v>1</v>
      </c>
      <c r="G223" s="562">
        <f t="shared" si="10"/>
        <v>960000</v>
      </c>
      <c r="H223" s="112"/>
      <c r="I223" s="554"/>
    </row>
    <row r="224" spans="1:9" s="546" customFormat="1" x14ac:dyDescent="0.25">
      <c r="A224" s="568"/>
      <c r="C224" s="323" t="s">
        <v>1223</v>
      </c>
      <c r="D224" s="323">
        <v>80000</v>
      </c>
      <c r="E224" s="323">
        <v>1</v>
      </c>
      <c r="F224" s="323">
        <v>3</v>
      </c>
      <c r="G224" s="562">
        <f t="shared" si="10"/>
        <v>240000</v>
      </c>
      <c r="H224" s="112"/>
      <c r="I224" s="554"/>
    </row>
    <row r="225" spans="1:9" s="546" customFormat="1" x14ac:dyDescent="0.25">
      <c r="A225" s="568"/>
      <c r="C225" s="323" t="s">
        <v>231</v>
      </c>
      <c r="D225" s="323">
        <v>1000000</v>
      </c>
      <c r="E225" s="323">
        <v>1</v>
      </c>
      <c r="F225" s="323">
        <v>3</v>
      </c>
      <c r="G225" s="562">
        <f t="shared" si="10"/>
        <v>3000000</v>
      </c>
      <c r="H225" s="112"/>
      <c r="I225" s="554"/>
    </row>
    <row r="226" spans="1:9" s="546" customFormat="1" x14ac:dyDescent="0.25">
      <c r="A226" s="568"/>
      <c r="C226" s="323" t="s">
        <v>97</v>
      </c>
      <c r="D226" s="323">
        <v>20000</v>
      </c>
      <c r="E226" s="323">
        <v>65</v>
      </c>
      <c r="F226" s="323">
        <v>3</v>
      </c>
      <c r="G226" s="562">
        <f t="shared" si="10"/>
        <v>3900000</v>
      </c>
      <c r="H226" s="112"/>
      <c r="I226" s="554"/>
    </row>
    <row r="227" spans="1:9" s="546" customFormat="1" x14ac:dyDescent="0.25">
      <c r="A227" s="568"/>
      <c r="C227" s="323" t="s">
        <v>756</v>
      </c>
      <c r="D227" s="323">
        <v>400000</v>
      </c>
      <c r="E227" s="323">
        <v>1</v>
      </c>
      <c r="F227" s="323">
        <v>1</v>
      </c>
      <c r="G227" s="562">
        <f t="shared" si="10"/>
        <v>400000</v>
      </c>
      <c r="H227" s="112"/>
      <c r="I227" s="554"/>
    </row>
    <row r="228" spans="1:9" s="546" customFormat="1" x14ac:dyDescent="0.25">
      <c r="A228" s="568"/>
      <c r="C228" s="323" t="s">
        <v>60</v>
      </c>
      <c r="D228" s="323">
        <v>1</v>
      </c>
      <c r="E228" s="323">
        <v>1</v>
      </c>
      <c r="F228" s="323">
        <v>1</v>
      </c>
      <c r="G228" s="562">
        <v>1110000</v>
      </c>
      <c r="H228" s="112"/>
      <c r="I228" s="554"/>
    </row>
    <row r="229" spans="1:9" s="546" customFormat="1" x14ac:dyDescent="0.25">
      <c r="A229" s="568"/>
      <c r="C229" s="323" t="s">
        <v>57</v>
      </c>
      <c r="D229" s="323">
        <v>40000</v>
      </c>
      <c r="E229" s="323">
        <v>7</v>
      </c>
      <c r="F229" s="323">
        <v>3</v>
      </c>
      <c r="G229" s="562">
        <f t="shared" si="10"/>
        <v>840000</v>
      </c>
      <c r="H229" s="112"/>
      <c r="I229" s="554"/>
    </row>
    <row r="230" spans="1:9" s="546" customFormat="1" x14ac:dyDescent="0.25">
      <c r="A230" s="568"/>
      <c r="C230" s="323" t="s">
        <v>59</v>
      </c>
      <c r="D230" s="323">
        <v>50000</v>
      </c>
      <c r="E230" s="323">
        <v>43</v>
      </c>
      <c r="F230" s="323">
        <v>1</v>
      </c>
      <c r="G230" s="562">
        <f t="shared" si="10"/>
        <v>2150000</v>
      </c>
      <c r="H230" s="112"/>
      <c r="I230" s="554"/>
    </row>
    <row r="231" spans="1:9" s="546" customFormat="1" x14ac:dyDescent="0.25">
      <c r="A231" s="559"/>
      <c r="B231" s="551"/>
      <c r="C231" s="552"/>
      <c r="D231" s="552"/>
      <c r="E231" s="552"/>
      <c r="F231" s="552"/>
      <c r="G231" s="577">
        <f>SUM(G208:G230)</f>
        <v>37044000</v>
      </c>
      <c r="H231" s="112">
        <f>G231/8136</f>
        <v>4553.0973451327436</v>
      </c>
      <c r="I231" s="554"/>
    </row>
    <row r="232" spans="1:9" s="546" customFormat="1" ht="31.5" x14ac:dyDescent="0.25">
      <c r="A232" s="566">
        <v>11</v>
      </c>
      <c r="B232" s="576" t="s">
        <v>1255</v>
      </c>
      <c r="C232" s="323" t="s">
        <v>39</v>
      </c>
      <c r="D232" s="323">
        <f>150000</f>
        <v>150000</v>
      </c>
      <c r="E232" s="323">
        <v>1</v>
      </c>
      <c r="F232" s="323">
        <v>1</v>
      </c>
      <c r="G232" s="562">
        <f>D232*E232*F232</f>
        <v>150000</v>
      </c>
      <c r="H232" s="112"/>
      <c r="I232" s="554"/>
    </row>
    <row r="233" spans="1:9" s="546" customFormat="1" x14ac:dyDescent="0.25">
      <c r="A233" s="568"/>
      <c r="C233" s="323" t="s">
        <v>778</v>
      </c>
      <c r="D233" s="323">
        <v>170000</v>
      </c>
      <c r="E233" s="323">
        <v>1</v>
      </c>
      <c r="F233" s="323">
        <v>5</v>
      </c>
      <c r="G233" s="562">
        <f t="shared" ref="G233:G254" si="11">D233*E233*F233</f>
        <v>850000</v>
      </c>
      <c r="H233" s="112"/>
      <c r="I233" s="554"/>
    </row>
    <row r="234" spans="1:9" s="546" customFormat="1" x14ac:dyDescent="0.25">
      <c r="A234" s="568"/>
      <c r="C234" s="323" t="s">
        <v>779</v>
      </c>
      <c r="D234" s="323">
        <v>100000</v>
      </c>
      <c r="E234" s="323">
        <v>1</v>
      </c>
      <c r="F234" s="323">
        <v>6</v>
      </c>
      <c r="G234" s="562">
        <f t="shared" si="11"/>
        <v>600000</v>
      </c>
      <c r="H234" s="112"/>
      <c r="I234" s="554"/>
    </row>
    <row r="235" spans="1:9" s="546" customFormat="1" x14ac:dyDescent="0.25">
      <c r="A235" s="568"/>
      <c r="C235" s="323" t="s">
        <v>762</v>
      </c>
      <c r="D235" s="323">
        <v>150000</v>
      </c>
      <c r="E235" s="323">
        <v>3</v>
      </c>
      <c r="F235" s="323">
        <v>5</v>
      </c>
      <c r="G235" s="562">
        <f t="shared" si="11"/>
        <v>2250000</v>
      </c>
      <c r="H235" s="112"/>
      <c r="I235" s="554"/>
    </row>
    <row r="236" spans="1:9" s="546" customFormat="1" x14ac:dyDescent="0.25">
      <c r="A236" s="568"/>
      <c r="C236" s="323" t="s">
        <v>763</v>
      </c>
      <c r="D236" s="323">
        <v>100000</v>
      </c>
      <c r="E236" s="323">
        <v>3</v>
      </c>
      <c r="F236" s="323">
        <v>6</v>
      </c>
      <c r="G236" s="562">
        <f t="shared" si="11"/>
        <v>1800000</v>
      </c>
      <c r="H236" s="112"/>
      <c r="I236" s="554"/>
    </row>
    <row r="237" spans="1:9" s="546" customFormat="1" x14ac:dyDescent="0.25">
      <c r="A237" s="568"/>
      <c r="C237" s="323" t="s">
        <v>1212</v>
      </c>
      <c r="D237" s="323">
        <v>150000</v>
      </c>
      <c r="E237" s="323">
        <v>1</v>
      </c>
      <c r="F237" s="323">
        <v>5</v>
      </c>
      <c r="G237" s="562">
        <f t="shared" si="11"/>
        <v>750000</v>
      </c>
      <c r="H237" s="112"/>
      <c r="I237" s="554"/>
    </row>
    <row r="238" spans="1:9" s="546" customFormat="1" x14ac:dyDescent="0.25">
      <c r="A238" s="568"/>
      <c r="C238" s="323" t="s">
        <v>1213</v>
      </c>
      <c r="D238" s="323">
        <v>100000</v>
      </c>
      <c r="E238" s="323">
        <v>1</v>
      </c>
      <c r="F238" s="323">
        <v>6</v>
      </c>
      <c r="G238" s="562">
        <f t="shared" si="11"/>
        <v>600000</v>
      </c>
      <c r="H238" s="112"/>
      <c r="I238" s="554"/>
    </row>
    <row r="239" spans="1:9" s="546" customFormat="1" x14ac:dyDescent="0.25">
      <c r="A239" s="568"/>
      <c r="C239" s="323" t="s">
        <v>1214</v>
      </c>
      <c r="D239" s="323">
        <v>150000</v>
      </c>
      <c r="E239" s="323">
        <v>12</v>
      </c>
      <c r="F239" s="323">
        <v>4</v>
      </c>
      <c r="G239" s="562">
        <f t="shared" si="11"/>
        <v>7200000</v>
      </c>
      <c r="H239" s="112"/>
      <c r="I239" s="554"/>
    </row>
    <row r="240" spans="1:9" s="546" customFormat="1" x14ac:dyDescent="0.25">
      <c r="A240" s="568"/>
      <c r="C240" s="323" t="s">
        <v>1215</v>
      </c>
      <c r="D240" s="323">
        <v>100000</v>
      </c>
      <c r="E240" s="323">
        <v>12</v>
      </c>
      <c r="F240" s="323">
        <v>5</v>
      </c>
      <c r="G240" s="562">
        <f t="shared" si="11"/>
        <v>6000000</v>
      </c>
      <c r="H240" s="112"/>
      <c r="I240" s="554"/>
    </row>
    <row r="241" spans="1:9" s="546" customFormat="1" x14ac:dyDescent="0.25">
      <c r="A241" s="568"/>
      <c r="C241" s="323" t="s">
        <v>1216</v>
      </c>
      <c r="D241" s="323">
        <v>0</v>
      </c>
      <c r="E241" s="323">
        <v>3</v>
      </c>
      <c r="F241" s="323">
        <v>3</v>
      </c>
      <c r="G241" s="562">
        <f t="shared" si="11"/>
        <v>0</v>
      </c>
      <c r="H241" s="112"/>
      <c r="I241" s="554"/>
    </row>
    <row r="242" spans="1:9" s="546" customFormat="1" x14ac:dyDescent="0.25">
      <c r="A242" s="568"/>
      <c r="C242" s="323" t="s">
        <v>1217</v>
      </c>
      <c r="D242" s="323">
        <v>0</v>
      </c>
      <c r="E242" s="323">
        <v>10</v>
      </c>
      <c r="F242" s="323">
        <v>3</v>
      </c>
      <c r="G242" s="562">
        <f t="shared" si="11"/>
        <v>0</v>
      </c>
      <c r="H242" s="112"/>
      <c r="I242" s="554"/>
    </row>
    <row r="243" spans="1:9" s="546" customFormat="1" x14ac:dyDescent="0.25">
      <c r="A243" s="568"/>
      <c r="C243" s="323" t="s">
        <v>1218</v>
      </c>
      <c r="D243" s="323">
        <v>0</v>
      </c>
      <c r="E243" s="323">
        <v>36</v>
      </c>
      <c r="F243" s="323">
        <v>3</v>
      </c>
      <c r="G243" s="562">
        <f t="shared" si="11"/>
        <v>0</v>
      </c>
      <c r="H243" s="112"/>
      <c r="I243" s="554"/>
    </row>
    <row r="244" spans="1:9" s="546" customFormat="1" x14ac:dyDescent="0.25">
      <c r="A244" s="568"/>
      <c r="C244" s="323" t="s">
        <v>1256</v>
      </c>
      <c r="D244" s="323">
        <v>8000</v>
      </c>
      <c r="E244" s="323">
        <f>459/6</f>
        <v>76.5</v>
      </c>
      <c r="F244" s="323">
        <v>2</v>
      </c>
      <c r="G244" s="562">
        <f t="shared" si="11"/>
        <v>1224000</v>
      </c>
      <c r="H244" s="112"/>
      <c r="I244" s="554"/>
    </row>
    <row r="245" spans="1:9" s="546" customFormat="1" x14ac:dyDescent="0.25">
      <c r="A245" s="568"/>
      <c r="C245" s="323" t="s">
        <v>1220</v>
      </c>
      <c r="D245" s="323">
        <v>8000</v>
      </c>
      <c r="E245" s="323">
        <v>3</v>
      </c>
      <c r="F245" s="323">
        <v>10</v>
      </c>
      <c r="G245" s="562">
        <f t="shared" si="11"/>
        <v>240000</v>
      </c>
      <c r="H245" s="112"/>
      <c r="I245" s="554"/>
    </row>
    <row r="246" spans="1:9" s="546" customFormat="1" x14ac:dyDescent="0.25">
      <c r="A246" s="568"/>
      <c r="C246" s="323" t="s">
        <v>1221</v>
      </c>
      <c r="D246" s="323">
        <v>240000</v>
      </c>
      <c r="E246" s="323">
        <v>4</v>
      </c>
      <c r="F246" s="323">
        <v>1</v>
      </c>
      <c r="G246" s="562">
        <f t="shared" si="11"/>
        <v>960000</v>
      </c>
      <c r="H246" s="112"/>
      <c r="I246" s="554"/>
    </row>
    <row r="247" spans="1:9" s="546" customFormat="1" x14ac:dyDescent="0.25">
      <c r="A247" s="568"/>
      <c r="C247" s="323" t="s">
        <v>1222</v>
      </c>
      <c r="D247" s="323">
        <v>240000</v>
      </c>
      <c r="E247" s="323">
        <v>4</v>
      </c>
      <c r="F247" s="323">
        <v>1</v>
      </c>
      <c r="G247" s="562">
        <f t="shared" si="11"/>
        <v>960000</v>
      </c>
      <c r="H247" s="112"/>
      <c r="I247" s="554"/>
    </row>
    <row r="248" spans="1:9" s="546" customFormat="1" x14ac:dyDescent="0.25">
      <c r="A248" s="568"/>
      <c r="C248" s="323" t="s">
        <v>1223</v>
      </c>
      <c r="D248" s="323">
        <v>80000</v>
      </c>
      <c r="E248" s="323">
        <v>1</v>
      </c>
      <c r="F248" s="323">
        <v>3</v>
      </c>
      <c r="G248" s="562">
        <f t="shared" si="11"/>
        <v>240000</v>
      </c>
      <c r="H248" s="112"/>
      <c r="I248" s="554"/>
    </row>
    <row r="249" spans="1:9" s="546" customFormat="1" x14ac:dyDescent="0.25">
      <c r="A249" s="568"/>
      <c r="C249" s="323" t="s">
        <v>231</v>
      </c>
      <c r="D249" s="323">
        <v>1000000</v>
      </c>
      <c r="E249" s="323">
        <v>1</v>
      </c>
      <c r="F249" s="323">
        <v>3</v>
      </c>
      <c r="G249" s="562">
        <f t="shared" si="11"/>
        <v>3000000</v>
      </c>
      <c r="H249" s="112"/>
      <c r="I249" s="554"/>
    </row>
    <row r="250" spans="1:9" s="546" customFormat="1" x14ac:dyDescent="0.25">
      <c r="A250" s="568"/>
      <c r="C250" s="323" t="s">
        <v>97</v>
      </c>
      <c r="D250" s="323">
        <v>20000</v>
      </c>
      <c r="E250" s="323">
        <v>65</v>
      </c>
      <c r="F250" s="323">
        <v>3</v>
      </c>
      <c r="G250" s="562">
        <f t="shared" si="11"/>
        <v>3900000</v>
      </c>
      <c r="H250" s="112"/>
      <c r="I250" s="554"/>
    </row>
    <row r="251" spans="1:9" s="546" customFormat="1" x14ac:dyDescent="0.25">
      <c r="A251" s="568"/>
      <c r="C251" s="323" t="s">
        <v>756</v>
      </c>
      <c r="D251" s="323">
        <v>400000</v>
      </c>
      <c r="E251" s="323">
        <v>1</v>
      </c>
      <c r="F251" s="323">
        <v>1</v>
      </c>
      <c r="G251" s="562">
        <f t="shared" si="11"/>
        <v>400000</v>
      </c>
      <c r="H251" s="112"/>
      <c r="I251" s="554"/>
    </row>
    <row r="252" spans="1:9" s="546" customFormat="1" x14ac:dyDescent="0.25">
      <c r="A252" s="568"/>
      <c r="C252" s="323" t="s">
        <v>60</v>
      </c>
      <c r="D252" s="323">
        <v>1</v>
      </c>
      <c r="E252" s="323">
        <v>1</v>
      </c>
      <c r="F252" s="323">
        <v>1</v>
      </c>
      <c r="G252" s="562">
        <v>1110000</v>
      </c>
      <c r="H252" s="112"/>
      <c r="I252" s="554"/>
    </row>
    <row r="253" spans="1:9" s="546" customFormat="1" x14ac:dyDescent="0.25">
      <c r="A253" s="568"/>
      <c r="C253" s="323" t="s">
        <v>57</v>
      </c>
      <c r="D253" s="323">
        <v>40000</v>
      </c>
      <c r="E253" s="323">
        <v>7</v>
      </c>
      <c r="F253" s="323">
        <v>3</v>
      </c>
      <c r="G253" s="562">
        <f t="shared" si="11"/>
        <v>840000</v>
      </c>
      <c r="H253" s="112"/>
      <c r="I253" s="554"/>
    </row>
    <row r="254" spans="1:9" s="546" customFormat="1" x14ac:dyDescent="0.25">
      <c r="A254" s="568"/>
      <c r="C254" s="323" t="s">
        <v>59</v>
      </c>
      <c r="D254" s="323">
        <v>50000</v>
      </c>
      <c r="E254" s="323">
        <v>43</v>
      </c>
      <c r="F254" s="323">
        <v>1</v>
      </c>
      <c r="G254" s="562">
        <f t="shared" si="11"/>
        <v>2150000</v>
      </c>
      <c r="H254" s="112"/>
      <c r="I254" s="554"/>
    </row>
    <row r="255" spans="1:9" s="546" customFormat="1" x14ac:dyDescent="0.25">
      <c r="A255" s="580"/>
      <c r="B255" s="581"/>
      <c r="C255" s="582"/>
      <c r="D255" s="582"/>
      <c r="E255" s="582"/>
      <c r="F255" s="582"/>
      <c r="G255" s="583">
        <f>SUM(G232:G254)</f>
        <v>35224000</v>
      </c>
      <c r="H255" s="112">
        <f>G255/8136</f>
        <v>4329.4001966568339</v>
      </c>
      <c r="I255" s="554"/>
    </row>
    <row r="256" spans="1:9" s="546" customFormat="1" ht="31.5" x14ac:dyDescent="0.25">
      <c r="A256" s="566">
        <v>12</v>
      </c>
      <c r="B256" s="576" t="s">
        <v>1257</v>
      </c>
      <c r="C256" s="323" t="s">
        <v>39</v>
      </c>
      <c r="D256" s="323">
        <f>150000</f>
        <v>150000</v>
      </c>
      <c r="E256" s="323">
        <v>1</v>
      </c>
      <c r="F256" s="323">
        <v>1</v>
      </c>
      <c r="G256" s="562">
        <f>D256*E256*F256</f>
        <v>150000</v>
      </c>
      <c r="H256" s="112"/>
      <c r="I256" s="554"/>
    </row>
    <row r="257" spans="1:9" s="546" customFormat="1" x14ac:dyDescent="0.25">
      <c r="A257" s="568"/>
      <c r="C257" s="323" t="s">
        <v>1258</v>
      </c>
      <c r="D257" s="323">
        <v>170000</v>
      </c>
      <c r="E257" s="323">
        <v>1</v>
      </c>
      <c r="F257" s="323">
        <v>5</v>
      </c>
      <c r="G257" s="562">
        <f t="shared" ref="G257:G278" si="12">D257*E257*F257</f>
        <v>850000</v>
      </c>
      <c r="H257" s="112"/>
      <c r="I257" s="554"/>
    </row>
    <row r="258" spans="1:9" s="546" customFormat="1" x14ac:dyDescent="0.25">
      <c r="A258" s="568"/>
      <c r="C258" s="323" t="s">
        <v>1259</v>
      </c>
      <c r="D258" s="323">
        <v>100000</v>
      </c>
      <c r="E258" s="323">
        <v>1</v>
      </c>
      <c r="F258" s="323">
        <v>6</v>
      </c>
      <c r="G258" s="562">
        <f t="shared" si="12"/>
        <v>600000</v>
      </c>
      <c r="H258" s="112"/>
      <c r="I258" s="554"/>
    </row>
    <row r="259" spans="1:9" s="546" customFormat="1" x14ac:dyDescent="0.25">
      <c r="A259" s="568"/>
      <c r="C259" s="323" t="s">
        <v>762</v>
      </c>
      <c r="D259" s="323">
        <v>150000</v>
      </c>
      <c r="E259" s="323">
        <v>3</v>
      </c>
      <c r="F259" s="323">
        <v>5</v>
      </c>
      <c r="G259" s="562">
        <f t="shared" si="12"/>
        <v>2250000</v>
      </c>
      <c r="H259" s="112"/>
      <c r="I259" s="554"/>
    </row>
    <row r="260" spans="1:9" s="546" customFormat="1" x14ac:dyDescent="0.25">
      <c r="A260" s="568"/>
      <c r="C260" s="323" t="s">
        <v>763</v>
      </c>
      <c r="D260" s="323">
        <v>100000</v>
      </c>
      <c r="E260" s="323">
        <v>3</v>
      </c>
      <c r="F260" s="323">
        <v>6</v>
      </c>
      <c r="G260" s="562">
        <f t="shared" si="12"/>
        <v>1800000</v>
      </c>
      <c r="H260" s="112"/>
      <c r="I260" s="554"/>
    </row>
    <row r="261" spans="1:9" s="546" customFormat="1" x14ac:dyDescent="0.25">
      <c r="A261" s="568"/>
      <c r="C261" s="323" t="s">
        <v>1212</v>
      </c>
      <c r="D261" s="323">
        <v>150000</v>
      </c>
      <c r="E261" s="323">
        <v>1</v>
      </c>
      <c r="F261" s="323">
        <v>5</v>
      </c>
      <c r="G261" s="562">
        <f t="shared" si="12"/>
        <v>750000</v>
      </c>
      <c r="H261" s="112"/>
      <c r="I261" s="554"/>
    </row>
    <row r="262" spans="1:9" s="546" customFormat="1" x14ac:dyDescent="0.25">
      <c r="A262" s="568"/>
      <c r="C262" s="323" t="s">
        <v>1213</v>
      </c>
      <c r="D262" s="323">
        <v>100000</v>
      </c>
      <c r="E262" s="323">
        <v>1</v>
      </c>
      <c r="F262" s="323">
        <v>6</v>
      </c>
      <c r="G262" s="562">
        <f t="shared" si="12"/>
        <v>600000</v>
      </c>
      <c r="H262" s="112"/>
      <c r="I262" s="554"/>
    </row>
    <row r="263" spans="1:9" s="546" customFormat="1" x14ac:dyDescent="0.25">
      <c r="A263" s="568"/>
      <c r="C263" s="323" t="s">
        <v>1214</v>
      </c>
      <c r="D263" s="323">
        <v>150000</v>
      </c>
      <c r="E263" s="323">
        <v>12</v>
      </c>
      <c r="F263" s="323">
        <v>4</v>
      </c>
      <c r="G263" s="562">
        <f t="shared" si="12"/>
        <v>7200000</v>
      </c>
      <c r="H263" s="112"/>
      <c r="I263" s="554"/>
    </row>
    <row r="264" spans="1:9" s="546" customFormat="1" x14ac:dyDescent="0.25">
      <c r="A264" s="568"/>
      <c r="C264" s="323" t="s">
        <v>1215</v>
      </c>
      <c r="D264" s="323">
        <v>100000</v>
      </c>
      <c r="E264" s="323">
        <v>12</v>
      </c>
      <c r="F264" s="323">
        <v>5</v>
      </c>
      <c r="G264" s="562">
        <f t="shared" si="12"/>
        <v>6000000</v>
      </c>
      <c r="H264" s="112"/>
      <c r="I264" s="554"/>
    </row>
    <row r="265" spans="1:9" s="546" customFormat="1" x14ac:dyDescent="0.25">
      <c r="A265" s="568"/>
      <c r="C265" s="323" t="s">
        <v>1216</v>
      </c>
      <c r="D265" s="323">
        <v>0</v>
      </c>
      <c r="E265" s="323">
        <v>3</v>
      </c>
      <c r="F265" s="323">
        <v>3</v>
      </c>
      <c r="G265" s="562">
        <f t="shared" si="12"/>
        <v>0</v>
      </c>
      <c r="H265" s="112"/>
      <c r="I265" s="554"/>
    </row>
    <row r="266" spans="1:9" s="546" customFormat="1" x14ac:dyDescent="0.25">
      <c r="A266" s="568"/>
      <c r="C266" s="323" t="s">
        <v>1217</v>
      </c>
      <c r="D266" s="323">
        <v>0</v>
      </c>
      <c r="E266" s="323">
        <v>10</v>
      </c>
      <c r="F266" s="323">
        <v>3</v>
      </c>
      <c r="G266" s="562">
        <f t="shared" si="12"/>
        <v>0</v>
      </c>
      <c r="H266" s="112"/>
      <c r="I266" s="554"/>
    </row>
    <row r="267" spans="1:9" s="546" customFormat="1" x14ac:dyDescent="0.25">
      <c r="A267" s="568"/>
      <c r="C267" s="323" t="s">
        <v>1218</v>
      </c>
      <c r="D267" s="323">
        <v>0</v>
      </c>
      <c r="E267" s="323">
        <v>36</v>
      </c>
      <c r="F267" s="323">
        <v>3</v>
      </c>
      <c r="G267" s="562">
        <f t="shared" si="12"/>
        <v>0</v>
      </c>
      <c r="H267" s="112"/>
      <c r="I267" s="554"/>
    </row>
    <row r="268" spans="1:9" s="546" customFormat="1" x14ac:dyDescent="0.25">
      <c r="A268" s="568"/>
      <c r="C268" s="323" t="s">
        <v>1260</v>
      </c>
      <c r="D268" s="323">
        <v>8000</v>
      </c>
      <c r="E268" s="323">
        <f>150/8</f>
        <v>18.75</v>
      </c>
      <c r="F268" s="323">
        <v>2</v>
      </c>
      <c r="G268" s="562">
        <f t="shared" si="12"/>
        <v>300000</v>
      </c>
      <c r="H268" s="112"/>
      <c r="I268" s="554"/>
    </row>
    <row r="269" spans="1:9" s="546" customFormat="1" x14ac:dyDescent="0.25">
      <c r="A269" s="568"/>
      <c r="C269" s="323" t="s">
        <v>1220</v>
      </c>
      <c r="D269" s="323">
        <v>8000</v>
      </c>
      <c r="E269" s="323">
        <v>3</v>
      </c>
      <c r="F269" s="323">
        <v>10</v>
      </c>
      <c r="G269" s="562">
        <f t="shared" si="12"/>
        <v>240000</v>
      </c>
      <c r="H269" s="112"/>
      <c r="I269" s="554"/>
    </row>
    <row r="270" spans="1:9" s="546" customFormat="1" x14ac:dyDescent="0.25">
      <c r="A270" s="568"/>
      <c r="C270" s="323" t="s">
        <v>1221</v>
      </c>
      <c r="D270" s="323">
        <v>240000</v>
      </c>
      <c r="E270" s="323">
        <v>4</v>
      </c>
      <c r="F270" s="323">
        <v>1</v>
      </c>
      <c r="G270" s="562">
        <f t="shared" si="12"/>
        <v>960000</v>
      </c>
      <c r="H270" s="112"/>
      <c r="I270" s="554"/>
    </row>
    <row r="271" spans="1:9" s="546" customFormat="1" x14ac:dyDescent="0.25">
      <c r="A271" s="568"/>
      <c r="C271" s="323" t="s">
        <v>1222</v>
      </c>
      <c r="D271" s="323">
        <v>240000</v>
      </c>
      <c r="E271" s="323">
        <v>4</v>
      </c>
      <c r="F271" s="323">
        <v>1</v>
      </c>
      <c r="G271" s="562">
        <f t="shared" si="12"/>
        <v>960000</v>
      </c>
      <c r="H271" s="112"/>
      <c r="I271" s="554"/>
    </row>
    <row r="272" spans="1:9" s="546" customFormat="1" x14ac:dyDescent="0.25">
      <c r="A272" s="568"/>
      <c r="C272" s="323" t="s">
        <v>1223</v>
      </c>
      <c r="D272" s="323">
        <v>80000</v>
      </c>
      <c r="E272" s="323">
        <v>1</v>
      </c>
      <c r="F272" s="323">
        <v>3</v>
      </c>
      <c r="G272" s="562">
        <f t="shared" si="12"/>
        <v>240000</v>
      </c>
      <c r="H272" s="112"/>
      <c r="I272" s="554"/>
    </row>
    <row r="273" spans="1:9" s="546" customFormat="1" x14ac:dyDescent="0.25">
      <c r="A273" s="568"/>
      <c r="C273" s="323" t="s">
        <v>231</v>
      </c>
      <c r="D273" s="323">
        <v>1000000</v>
      </c>
      <c r="E273" s="323">
        <v>1</v>
      </c>
      <c r="F273" s="323">
        <v>3</v>
      </c>
      <c r="G273" s="562">
        <f t="shared" si="12"/>
        <v>3000000</v>
      </c>
      <c r="H273" s="112"/>
      <c r="I273" s="554"/>
    </row>
    <row r="274" spans="1:9" s="546" customFormat="1" x14ac:dyDescent="0.25">
      <c r="A274" s="568"/>
      <c r="C274" s="323" t="s">
        <v>97</v>
      </c>
      <c r="D274" s="323">
        <v>20000</v>
      </c>
      <c r="E274" s="323">
        <v>65</v>
      </c>
      <c r="F274" s="323">
        <v>3</v>
      </c>
      <c r="G274" s="562">
        <f t="shared" si="12"/>
        <v>3900000</v>
      </c>
      <c r="H274" s="112"/>
      <c r="I274" s="554"/>
    </row>
    <row r="275" spans="1:9" s="546" customFormat="1" x14ac:dyDescent="0.25">
      <c r="A275" s="568"/>
      <c r="C275" s="323" t="s">
        <v>756</v>
      </c>
      <c r="D275" s="323">
        <v>400000</v>
      </c>
      <c r="E275" s="323">
        <v>1</v>
      </c>
      <c r="F275" s="323">
        <v>1</v>
      </c>
      <c r="G275" s="562">
        <f t="shared" si="12"/>
        <v>400000</v>
      </c>
      <c r="H275" s="112"/>
      <c r="I275" s="554"/>
    </row>
    <row r="276" spans="1:9" s="546" customFormat="1" x14ac:dyDescent="0.25">
      <c r="A276" s="568"/>
      <c r="C276" s="323" t="s">
        <v>60</v>
      </c>
      <c r="D276" s="323">
        <v>1</v>
      </c>
      <c r="E276" s="323">
        <v>1</v>
      </c>
      <c r="F276" s="323">
        <v>1</v>
      </c>
      <c r="G276" s="562">
        <v>1110000</v>
      </c>
      <c r="H276" s="112"/>
      <c r="I276" s="554"/>
    </row>
    <row r="277" spans="1:9" s="546" customFormat="1" x14ac:dyDescent="0.25">
      <c r="A277" s="568"/>
      <c r="C277" s="323" t="s">
        <v>57</v>
      </c>
      <c r="D277" s="323">
        <v>40000</v>
      </c>
      <c r="E277" s="323">
        <v>7</v>
      </c>
      <c r="F277" s="323">
        <v>3</v>
      </c>
      <c r="G277" s="562">
        <f t="shared" si="12"/>
        <v>840000</v>
      </c>
      <c r="H277" s="112"/>
      <c r="I277" s="554"/>
    </row>
    <row r="278" spans="1:9" s="546" customFormat="1" x14ac:dyDescent="0.25">
      <c r="A278" s="568"/>
      <c r="C278" s="323" t="s">
        <v>59</v>
      </c>
      <c r="D278" s="323">
        <v>50000</v>
      </c>
      <c r="E278" s="323">
        <v>43</v>
      </c>
      <c r="F278" s="323">
        <v>1</v>
      </c>
      <c r="G278" s="562">
        <f t="shared" si="12"/>
        <v>2150000</v>
      </c>
      <c r="H278" s="112"/>
      <c r="I278" s="554"/>
    </row>
    <row r="279" spans="1:9" s="546" customFormat="1" x14ac:dyDescent="0.25">
      <c r="A279" s="580"/>
      <c r="B279" s="581"/>
      <c r="C279" s="582"/>
      <c r="D279" s="582"/>
      <c r="E279" s="582"/>
      <c r="F279" s="582"/>
      <c r="G279" s="583">
        <f>SUM(G256:G278)</f>
        <v>34300000</v>
      </c>
      <c r="H279" s="112">
        <f>G279/8136</f>
        <v>4215.8308751229106</v>
      </c>
      <c r="I279" s="554"/>
    </row>
    <row r="280" spans="1:9" s="558" customFormat="1" ht="31.5" x14ac:dyDescent="0.25">
      <c r="A280" s="543">
        <v>13</v>
      </c>
      <c r="B280" s="564" t="s">
        <v>1261</v>
      </c>
      <c r="C280" s="323" t="s">
        <v>39</v>
      </c>
      <c r="D280" s="323">
        <f>150000</f>
        <v>150000</v>
      </c>
      <c r="E280" s="323">
        <v>1</v>
      </c>
      <c r="F280" s="323">
        <v>1</v>
      </c>
      <c r="G280" s="556">
        <f>D280*E280*F280</f>
        <v>150000</v>
      </c>
      <c r="H280" s="557"/>
    </row>
    <row r="281" spans="1:9" s="539" customFormat="1" x14ac:dyDescent="0.25">
      <c r="A281" s="321"/>
      <c r="B281" s="547"/>
      <c r="C281" s="323" t="s">
        <v>805</v>
      </c>
      <c r="D281" s="323">
        <v>170000</v>
      </c>
      <c r="E281" s="323">
        <v>1</v>
      </c>
      <c r="F281" s="323">
        <v>4</v>
      </c>
      <c r="G281" s="556">
        <f t="shared" ref="G281:G296" si="13">D281*E281*F281</f>
        <v>680000</v>
      </c>
      <c r="H281" s="290"/>
    </row>
    <row r="282" spans="1:9" s="539" customFormat="1" x14ac:dyDescent="0.25">
      <c r="A282" s="321"/>
      <c r="C282" s="323" t="s">
        <v>806</v>
      </c>
      <c r="D282" s="323">
        <v>100000</v>
      </c>
      <c r="E282" s="323">
        <v>1</v>
      </c>
      <c r="F282" s="323">
        <v>5</v>
      </c>
      <c r="G282" s="556">
        <f t="shared" si="13"/>
        <v>500000</v>
      </c>
      <c r="H282" s="290"/>
    </row>
    <row r="283" spans="1:9" s="539" customFormat="1" x14ac:dyDescent="0.25">
      <c r="A283" s="321"/>
      <c r="C283" s="323" t="s">
        <v>762</v>
      </c>
      <c r="D283" s="323">
        <v>150000</v>
      </c>
      <c r="E283" s="323">
        <v>4</v>
      </c>
      <c r="F283" s="323">
        <v>4</v>
      </c>
      <c r="G283" s="556">
        <f t="shared" si="13"/>
        <v>2400000</v>
      </c>
      <c r="H283" s="290"/>
    </row>
    <row r="284" spans="1:9" s="539" customFormat="1" x14ac:dyDescent="0.25">
      <c r="A284" s="321"/>
      <c r="C284" s="323" t="s">
        <v>763</v>
      </c>
      <c r="D284" s="323">
        <v>100000</v>
      </c>
      <c r="E284" s="323">
        <v>4</v>
      </c>
      <c r="F284" s="323">
        <v>5</v>
      </c>
      <c r="G284" s="556">
        <f t="shared" si="13"/>
        <v>2000000</v>
      </c>
      <c r="H284" s="290"/>
    </row>
    <row r="285" spans="1:9" s="539" customFormat="1" x14ac:dyDescent="0.25">
      <c r="A285" s="321"/>
      <c r="C285" s="323" t="s">
        <v>1214</v>
      </c>
      <c r="D285" s="323">
        <v>150000</v>
      </c>
      <c r="E285" s="323">
        <v>12</v>
      </c>
      <c r="F285" s="323">
        <v>4</v>
      </c>
      <c r="G285" s="556">
        <f t="shared" si="13"/>
        <v>7200000</v>
      </c>
      <c r="H285" s="290"/>
    </row>
    <row r="286" spans="1:9" s="539" customFormat="1" x14ac:dyDescent="0.25">
      <c r="A286" s="321"/>
      <c r="C286" s="323" t="s">
        <v>1215</v>
      </c>
      <c r="D286" s="323">
        <v>100000</v>
      </c>
      <c r="E286" s="323">
        <v>12</v>
      </c>
      <c r="F286" s="323">
        <v>5</v>
      </c>
      <c r="G286" s="556">
        <f t="shared" si="13"/>
        <v>6000000</v>
      </c>
      <c r="H286" s="290"/>
    </row>
    <row r="287" spans="1:9" s="539" customFormat="1" x14ac:dyDescent="0.25">
      <c r="A287" s="321"/>
      <c r="C287" s="323" t="s">
        <v>1216</v>
      </c>
      <c r="D287" s="323">
        <v>0</v>
      </c>
      <c r="E287" s="323">
        <v>3</v>
      </c>
      <c r="F287" s="323">
        <v>3</v>
      </c>
      <c r="G287" s="556">
        <f t="shared" si="13"/>
        <v>0</v>
      </c>
      <c r="H287" s="290"/>
    </row>
    <row r="288" spans="1:9" s="539" customFormat="1" x14ac:dyDescent="0.25">
      <c r="A288" s="321"/>
      <c r="C288" s="323" t="s">
        <v>1217</v>
      </c>
      <c r="D288" s="323">
        <v>0</v>
      </c>
      <c r="E288" s="323">
        <v>10</v>
      </c>
      <c r="F288" s="323">
        <v>3</v>
      </c>
      <c r="G288" s="556">
        <f t="shared" si="13"/>
        <v>0</v>
      </c>
      <c r="H288" s="290"/>
    </row>
    <row r="289" spans="1:9" s="539" customFormat="1" x14ac:dyDescent="0.25">
      <c r="A289" s="321"/>
      <c r="C289" s="323" t="s">
        <v>1218</v>
      </c>
      <c r="D289" s="323">
        <v>0</v>
      </c>
      <c r="E289" s="323">
        <v>36</v>
      </c>
      <c r="F289" s="323">
        <v>3</v>
      </c>
      <c r="G289" s="556">
        <f t="shared" si="13"/>
        <v>0</v>
      </c>
      <c r="H289" s="290"/>
    </row>
    <row r="290" spans="1:9" s="301" customFormat="1" x14ac:dyDescent="0.25">
      <c r="A290" s="321"/>
      <c r="C290" s="323" t="s">
        <v>1262</v>
      </c>
      <c r="D290" s="323">
        <v>1200000</v>
      </c>
      <c r="E290" s="323">
        <v>5</v>
      </c>
      <c r="F290" s="323">
        <v>1</v>
      </c>
      <c r="G290" s="556">
        <f t="shared" si="13"/>
        <v>6000000</v>
      </c>
      <c r="H290" s="548"/>
    </row>
    <row r="291" spans="1:9" s="539" customFormat="1" x14ac:dyDescent="0.25">
      <c r="A291" s="321"/>
      <c r="C291" s="323" t="s">
        <v>1221</v>
      </c>
      <c r="D291" s="323">
        <v>240000</v>
      </c>
      <c r="E291" s="323">
        <v>4</v>
      </c>
      <c r="F291" s="323">
        <v>1</v>
      </c>
      <c r="G291" s="556">
        <f t="shared" si="13"/>
        <v>960000</v>
      </c>
      <c r="H291" s="290"/>
    </row>
    <row r="292" spans="1:9" s="539" customFormat="1" x14ac:dyDescent="0.25">
      <c r="A292" s="321"/>
      <c r="C292" s="546" t="s">
        <v>1222</v>
      </c>
      <c r="D292" s="323">
        <v>240000</v>
      </c>
      <c r="E292" s="323">
        <v>4</v>
      </c>
      <c r="F292" s="323">
        <v>1</v>
      </c>
      <c r="G292" s="556">
        <f t="shared" si="13"/>
        <v>960000</v>
      </c>
      <c r="H292" s="290"/>
    </row>
    <row r="293" spans="1:9" s="539" customFormat="1" x14ac:dyDescent="0.25">
      <c r="A293" s="321"/>
      <c r="C293" s="546" t="s">
        <v>1223</v>
      </c>
      <c r="D293" s="323">
        <v>80000</v>
      </c>
      <c r="E293" s="323">
        <v>1</v>
      </c>
      <c r="F293" s="323">
        <v>3</v>
      </c>
      <c r="G293" s="556">
        <f t="shared" si="13"/>
        <v>240000</v>
      </c>
      <c r="H293" s="290"/>
    </row>
    <row r="294" spans="1:9" s="539" customFormat="1" x14ac:dyDescent="0.25">
      <c r="A294" s="321"/>
      <c r="B294" s="327"/>
      <c r="C294" s="322" t="s">
        <v>231</v>
      </c>
      <c r="D294" s="323">
        <v>1000000</v>
      </c>
      <c r="E294" s="323">
        <v>1</v>
      </c>
      <c r="F294" s="323">
        <v>3</v>
      </c>
      <c r="G294" s="556">
        <f t="shared" si="13"/>
        <v>3000000</v>
      </c>
      <c r="H294" s="290"/>
    </row>
    <row r="295" spans="1:9" s="539" customFormat="1" x14ac:dyDescent="0.25">
      <c r="A295" s="321"/>
      <c r="B295" s="327"/>
      <c r="C295" s="322" t="s">
        <v>97</v>
      </c>
      <c r="D295" s="323">
        <v>20000</v>
      </c>
      <c r="E295" s="323">
        <v>64</v>
      </c>
      <c r="F295" s="323">
        <v>3</v>
      </c>
      <c r="G295" s="556">
        <f t="shared" si="13"/>
        <v>3840000</v>
      </c>
      <c r="H295" s="290"/>
    </row>
    <row r="296" spans="1:9" s="539" customFormat="1" x14ac:dyDescent="0.25">
      <c r="A296" s="321"/>
      <c r="B296" s="546"/>
      <c r="C296" s="322" t="s">
        <v>756</v>
      </c>
      <c r="D296" s="323">
        <v>400000</v>
      </c>
      <c r="E296" s="323">
        <v>1</v>
      </c>
      <c r="F296" s="323">
        <v>1</v>
      </c>
      <c r="G296" s="556">
        <f t="shared" si="13"/>
        <v>400000</v>
      </c>
      <c r="H296" s="290"/>
    </row>
    <row r="297" spans="1:9" s="549" customFormat="1" x14ac:dyDescent="0.25">
      <c r="A297" s="321"/>
      <c r="B297" s="327"/>
      <c r="C297" s="323" t="s">
        <v>60</v>
      </c>
      <c r="D297" s="323">
        <v>1</v>
      </c>
      <c r="E297" s="323">
        <v>1</v>
      </c>
      <c r="F297" s="323">
        <v>1</v>
      </c>
      <c r="G297" s="556">
        <v>1110000</v>
      </c>
      <c r="H297" s="413"/>
    </row>
    <row r="298" spans="1:9" s="539" customFormat="1" x14ac:dyDescent="0.25">
      <c r="A298" s="321"/>
      <c r="B298" s="546"/>
      <c r="C298" s="323" t="s">
        <v>57</v>
      </c>
      <c r="D298" s="323">
        <v>40000</v>
      </c>
      <c r="E298" s="323">
        <v>7</v>
      </c>
      <c r="F298" s="323">
        <v>3</v>
      </c>
      <c r="G298" s="556">
        <f t="shared" ref="G298:G299" si="14">D298*E298*F298</f>
        <v>840000</v>
      </c>
      <c r="H298" s="290"/>
    </row>
    <row r="299" spans="1:9" s="539" customFormat="1" x14ac:dyDescent="0.25">
      <c r="A299" s="321"/>
      <c r="C299" s="323" t="s">
        <v>59</v>
      </c>
      <c r="D299" s="323">
        <v>50000</v>
      </c>
      <c r="E299" s="323">
        <v>43</v>
      </c>
      <c r="F299" s="323">
        <v>1</v>
      </c>
      <c r="G299" s="556">
        <f t="shared" si="14"/>
        <v>2150000</v>
      </c>
      <c r="H299" s="290"/>
    </row>
    <row r="300" spans="1:9" s="563" customFormat="1" x14ac:dyDescent="0.25">
      <c r="A300" s="580"/>
      <c r="B300" s="584"/>
      <c r="C300" s="582"/>
      <c r="D300" s="582"/>
      <c r="E300" s="582"/>
      <c r="F300" s="582"/>
      <c r="G300" s="585">
        <f>SUM(G280:G299)</f>
        <v>38430000</v>
      </c>
      <c r="H300" s="562"/>
    </row>
    <row r="301" spans="1:9" s="546" customFormat="1" ht="31.5" x14ac:dyDescent="0.25">
      <c r="A301" s="566">
        <v>14</v>
      </c>
      <c r="B301" s="576" t="s">
        <v>1263</v>
      </c>
      <c r="C301" s="323" t="s">
        <v>39</v>
      </c>
      <c r="D301" s="323">
        <v>150000</v>
      </c>
      <c r="E301" s="323">
        <v>1</v>
      </c>
      <c r="F301" s="323">
        <v>1</v>
      </c>
      <c r="G301" s="562">
        <f>D301*E301*F301</f>
        <v>150000</v>
      </c>
      <c r="H301" s="112"/>
      <c r="I301" s="554"/>
    </row>
    <row r="302" spans="1:9" s="546" customFormat="1" x14ac:dyDescent="0.25">
      <c r="A302" s="568"/>
      <c r="C302" s="323" t="s">
        <v>1264</v>
      </c>
      <c r="D302" s="323">
        <v>170000</v>
      </c>
      <c r="E302" s="323">
        <v>1</v>
      </c>
      <c r="F302" s="323">
        <v>6</v>
      </c>
      <c r="G302" s="562">
        <f t="shared" ref="G302:G326" si="15">D302*E302*F302</f>
        <v>1020000</v>
      </c>
      <c r="H302" s="112"/>
      <c r="I302" s="554"/>
    </row>
    <row r="303" spans="1:9" s="546" customFormat="1" x14ac:dyDescent="0.25">
      <c r="A303" s="568"/>
      <c r="C303" s="323" t="s">
        <v>1265</v>
      </c>
      <c r="D303" s="323">
        <v>100000</v>
      </c>
      <c r="E303" s="323">
        <v>1</v>
      </c>
      <c r="F303" s="323">
        <v>7</v>
      </c>
      <c r="G303" s="562">
        <f t="shared" si="15"/>
        <v>700000</v>
      </c>
      <c r="H303" s="112"/>
      <c r="I303" s="554"/>
    </row>
    <row r="304" spans="1:9" s="546" customFormat="1" x14ac:dyDescent="0.25">
      <c r="A304" s="568"/>
      <c r="C304" s="323" t="s">
        <v>762</v>
      </c>
      <c r="D304" s="323">
        <v>150000</v>
      </c>
      <c r="E304" s="323">
        <v>3</v>
      </c>
      <c r="F304" s="323">
        <v>6</v>
      </c>
      <c r="G304" s="562">
        <f t="shared" si="15"/>
        <v>2700000</v>
      </c>
      <c r="H304" s="112"/>
      <c r="I304" s="554"/>
    </row>
    <row r="305" spans="1:9" s="546" customFormat="1" x14ac:dyDescent="0.25">
      <c r="A305" s="568"/>
      <c r="C305" s="323" t="s">
        <v>763</v>
      </c>
      <c r="D305" s="323">
        <v>100000</v>
      </c>
      <c r="E305" s="323">
        <v>3</v>
      </c>
      <c r="F305" s="323">
        <v>7</v>
      </c>
      <c r="G305" s="562">
        <f t="shared" si="15"/>
        <v>2100000</v>
      </c>
      <c r="H305" s="112"/>
      <c r="I305" s="554"/>
    </row>
    <row r="306" spans="1:9" s="546" customFormat="1" x14ac:dyDescent="0.25">
      <c r="A306" s="568"/>
      <c r="C306" s="323" t="s">
        <v>1214</v>
      </c>
      <c r="D306" s="323">
        <v>150000</v>
      </c>
      <c r="E306" s="323">
        <v>12</v>
      </c>
      <c r="F306" s="323">
        <v>4</v>
      </c>
      <c r="G306" s="562">
        <f t="shared" si="15"/>
        <v>7200000</v>
      </c>
      <c r="H306" s="112"/>
      <c r="I306" s="554"/>
    </row>
    <row r="307" spans="1:9" s="546" customFormat="1" x14ac:dyDescent="0.25">
      <c r="A307" s="568"/>
      <c r="C307" s="323" t="s">
        <v>1215</v>
      </c>
      <c r="D307" s="323">
        <v>100000</v>
      </c>
      <c r="E307" s="323">
        <v>12</v>
      </c>
      <c r="F307" s="323">
        <v>5</v>
      </c>
      <c r="G307" s="562">
        <f t="shared" si="15"/>
        <v>6000000</v>
      </c>
      <c r="H307" s="112"/>
      <c r="I307" s="554"/>
    </row>
    <row r="308" spans="1:9" s="546" customFormat="1" x14ac:dyDescent="0.25">
      <c r="A308" s="568"/>
      <c r="C308" s="323" t="s">
        <v>1266</v>
      </c>
      <c r="D308" s="323">
        <v>150000</v>
      </c>
      <c r="E308" s="323">
        <v>1</v>
      </c>
      <c r="F308" s="323">
        <v>1</v>
      </c>
      <c r="G308" s="562">
        <f t="shared" si="15"/>
        <v>150000</v>
      </c>
      <c r="H308" s="112"/>
      <c r="I308" s="554"/>
    </row>
    <row r="309" spans="1:9" s="546" customFormat="1" x14ac:dyDescent="0.25">
      <c r="A309" s="568"/>
      <c r="C309" s="323" t="s">
        <v>1267</v>
      </c>
      <c r="D309" s="323">
        <v>100000</v>
      </c>
      <c r="E309" s="323">
        <v>1</v>
      </c>
      <c r="F309" s="323">
        <v>2</v>
      </c>
      <c r="G309" s="562">
        <f t="shared" si="15"/>
        <v>200000</v>
      </c>
      <c r="H309" s="112"/>
      <c r="I309" s="554"/>
    </row>
    <row r="310" spans="1:9" s="546" customFormat="1" x14ac:dyDescent="0.25">
      <c r="A310" s="568"/>
      <c r="C310" s="323" t="s">
        <v>1268</v>
      </c>
      <c r="D310" s="323">
        <v>150000</v>
      </c>
      <c r="E310" s="323">
        <v>1</v>
      </c>
      <c r="F310" s="323">
        <v>1</v>
      </c>
      <c r="G310" s="562">
        <f t="shared" si="15"/>
        <v>150000</v>
      </c>
      <c r="H310" s="112"/>
      <c r="I310" s="554"/>
    </row>
    <row r="311" spans="1:9" s="546" customFormat="1" x14ac:dyDescent="0.25">
      <c r="A311" s="568"/>
      <c r="C311" s="323" t="s">
        <v>1269</v>
      </c>
      <c r="D311" s="323">
        <v>100000</v>
      </c>
      <c r="E311" s="323">
        <v>1</v>
      </c>
      <c r="F311" s="323">
        <v>2</v>
      </c>
      <c r="G311" s="562">
        <f t="shared" si="15"/>
        <v>200000</v>
      </c>
      <c r="H311" s="112"/>
      <c r="I311" s="554"/>
    </row>
    <row r="312" spans="1:9" s="546" customFormat="1" x14ac:dyDescent="0.25">
      <c r="A312" s="568"/>
      <c r="C312" s="323" t="s">
        <v>1216</v>
      </c>
      <c r="D312" s="323">
        <v>0</v>
      </c>
      <c r="E312" s="323">
        <v>3</v>
      </c>
      <c r="F312" s="323">
        <v>3</v>
      </c>
      <c r="G312" s="562">
        <f t="shared" si="15"/>
        <v>0</v>
      </c>
      <c r="H312" s="112"/>
      <c r="I312" s="554"/>
    </row>
    <row r="313" spans="1:9" s="546" customFormat="1" x14ac:dyDescent="0.25">
      <c r="A313" s="568"/>
      <c r="C313" s="323" t="s">
        <v>1217</v>
      </c>
      <c r="D313" s="323">
        <v>0</v>
      </c>
      <c r="E313" s="323">
        <v>10</v>
      </c>
      <c r="F313" s="323">
        <v>3</v>
      </c>
      <c r="G313" s="562">
        <f t="shared" si="15"/>
        <v>0</v>
      </c>
      <c r="H313" s="112"/>
      <c r="I313" s="554"/>
    </row>
    <row r="314" spans="1:9" s="546" customFormat="1" x14ac:dyDescent="0.25">
      <c r="A314" s="568"/>
      <c r="C314" s="323" t="s">
        <v>1218</v>
      </c>
      <c r="D314" s="323">
        <v>0</v>
      </c>
      <c r="E314" s="323">
        <v>36</v>
      </c>
      <c r="F314" s="323">
        <v>3</v>
      </c>
      <c r="G314" s="562">
        <f t="shared" si="15"/>
        <v>0</v>
      </c>
      <c r="H314" s="112"/>
      <c r="I314" s="554"/>
    </row>
    <row r="315" spans="1:9" s="546" customFormat="1" x14ac:dyDescent="0.25">
      <c r="A315" s="568"/>
      <c r="C315" s="323" t="s">
        <v>1270</v>
      </c>
      <c r="D315" s="323">
        <v>1200000</v>
      </c>
      <c r="E315" s="323">
        <v>4</v>
      </c>
      <c r="F315" s="323">
        <v>1</v>
      </c>
      <c r="G315" s="562">
        <f t="shared" si="15"/>
        <v>4800000</v>
      </c>
      <c r="H315" s="112"/>
      <c r="I315" s="554"/>
    </row>
    <row r="316" spans="1:9" s="546" customFormat="1" x14ac:dyDescent="0.25">
      <c r="A316" s="568"/>
      <c r="C316" s="323" t="s">
        <v>1271</v>
      </c>
      <c r="D316" s="323">
        <v>8000</v>
      </c>
      <c r="E316" s="323">
        <f>250/6</f>
        <v>41.666666666666664</v>
      </c>
      <c r="F316" s="323">
        <v>2</v>
      </c>
      <c r="G316" s="562">
        <f t="shared" si="15"/>
        <v>666666.66666666663</v>
      </c>
      <c r="H316" s="112"/>
      <c r="I316" s="554"/>
    </row>
    <row r="317" spans="1:9" s="546" customFormat="1" x14ac:dyDescent="0.25">
      <c r="A317" s="568"/>
      <c r="C317" s="323" t="s">
        <v>1272</v>
      </c>
      <c r="D317" s="323">
        <v>8000</v>
      </c>
      <c r="E317" s="323">
        <f>250/6</f>
        <v>41.666666666666664</v>
      </c>
      <c r="F317" s="323">
        <v>2</v>
      </c>
      <c r="G317" s="562">
        <f t="shared" si="15"/>
        <v>666666.66666666663</v>
      </c>
      <c r="H317" s="112"/>
      <c r="I317" s="554"/>
    </row>
    <row r="318" spans="1:9" s="546" customFormat="1" x14ac:dyDescent="0.25">
      <c r="A318" s="568"/>
      <c r="C318" s="323" t="s">
        <v>1221</v>
      </c>
      <c r="D318" s="323">
        <v>240000</v>
      </c>
      <c r="E318" s="323">
        <v>4</v>
      </c>
      <c r="F318" s="323">
        <v>1</v>
      </c>
      <c r="G318" s="562">
        <f t="shared" si="15"/>
        <v>960000</v>
      </c>
      <c r="H318" s="112"/>
      <c r="I318" s="554"/>
    </row>
    <row r="319" spans="1:9" s="546" customFormat="1" x14ac:dyDescent="0.25">
      <c r="A319" s="568"/>
      <c r="C319" s="323" t="s">
        <v>1222</v>
      </c>
      <c r="D319" s="323">
        <v>240000</v>
      </c>
      <c r="E319" s="323">
        <v>4</v>
      </c>
      <c r="F319" s="323">
        <v>1</v>
      </c>
      <c r="G319" s="562">
        <f t="shared" si="15"/>
        <v>960000</v>
      </c>
      <c r="H319" s="112"/>
      <c r="I319" s="554"/>
    </row>
    <row r="320" spans="1:9" s="546" customFormat="1" x14ac:dyDescent="0.25">
      <c r="A320" s="568"/>
      <c r="C320" s="323" t="s">
        <v>1223</v>
      </c>
      <c r="D320" s="323">
        <v>80000</v>
      </c>
      <c r="E320" s="323">
        <v>1</v>
      </c>
      <c r="F320" s="323">
        <v>3</v>
      </c>
      <c r="G320" s="562">
        <f t="shared" si="15"/>
        <v>240000</v>
      </c>
      <c r="H320" s="112"/>
      <c r="I320" s="554"/>
    </row>
    <row r="321" spans="1:13" s="546" customFormat="1" x14ac:dyDescent="0.25">
      <c r="A321" s="568"/>
      <c r="C321" s="323" t="s">
        <v>231</v>
      </c>
      <c r="D321" s="323">
        <v>1000000</v>
      </c>
      <c r="E321" s="323">
        <v>1</v>
      </c>
      <c r="F321" s="323">
        <v>3</v>
      </c>
      <c r="G321" s="562">
        <f t="shared" si="15"/>
        <v>3000000</v>
      </c>
      <c r="H321" s="112"/>
      <c r="I321" s="554"/>
    </row>
    <row r="322" spans="1:13" s="546" customFormat="1" x14ac:dyDescent="0.25">
      <c r="A322" s="568"/>
      <c r="C322" s="323" t="s">
        <v>97</v>
      </c>
      <c r="D322" s="323">
        <v>20000</v>
      </c>
      <c r="E322" s="323">
        <v>65</v>
      </c>
      <c r="F322" s="323">
        <v>3</v>
      </c>
      <c r="G322" s="562">
        <f t="shared" si="15"/>
        <v>3900000</v>
      </c>
      <c r="H322" s="112"/>
      <c r="I322" s="554"/>
    </row>
    <row r="323" spans="1:13" s="546" customFormat="1" x14ac:dyDescent="0.25">
      <c r="A323" s="568"/>
      <c r="C323" s="323" t="s">
        <v>756</v>
      </c>
      <c r="D323" s="323">
        <v>400000</v>
      </c>
      <c r="E323" s="323">
        <v>1</v>
      </c>
      <c r="F323" s="323">
        <v>1</v>
      </c>
      <c r="G323" s="562">
        <f t="shared" si="15"/>
        <v>400000</v>
      </c>
      <c r="H323" s="112"/>
      <c r="I323" s="554"/>
    </row>
    <row r="324" spans="1:13" s="546" customFormat="1" x14ac:dyDescent="0.25">
      <c r="A324" s="568"/>
      <c r="C324" s="323" t="s">
        <v>60</v>
      </c>
      <c r="D324" s="323">
        <v>1</v>
      </c>
      <c r="E324" s="323">
        <v>1</v>
      </c>
      <c r="F324" s="323">
        <v>1</v>
      </c>
      <c r="G324" s="562">
        <v>1110000</v>
      </c>
      <c r="H324" s="112"/>
      <c r="I324" s="554"/>
    </row>
    <row r="325" spans="1:13" s="546" customFormat="1" x14ac:dyDescent="0.25">
      <c r="A325" s="568"/>
      <c r="C325" s="323" t="s">
        <v>57</v>
      </c>
      <c r="D325" s="323">
        <v>40000</v>
      </c>
      <c r="E325" s="323">
        <v>7</v>
      </c>
      <c r="F325" s="323">
        <v>3</v>
      </c>
      <c r="G325" s="562">
        <f t="shared" si="15"/>
        <v>840000</v>
      </c>
      <c r="H325" s="112"/>
      <c r="I325" s="554"/>
    </row>
    <row r="326" spans="1:13" s="546" customFormat="1" ht="16.5" thickBot="1" x14ac:dyDescent="0.3">
      <c r="A326" s="568"/>
      <c r="C326" s="323" t="s">
        <v>59</v>
      </c>
      <c r="D326" s="323">
        <v>50000</v>
      </c>
      <c r="E326" s="323">
        <v>43</v>
      </c>
      <c r="F326" s="323">
        <v>1</v>
      </c>
      <c r="G326" s="562">
        <f t="shared" si="15"/>
        <v>2150000</v>
      </c>
      <c r="H326" s="112"/>
      <c r="I326" s="554"/>
    </row>
    <row r="327" spans="1:13" s="546" customFormat="1" ht="19.5" thickBot="1" x14ac:dyDescent="0.3">
      <c r="A327" s="580"/>
      <c r="C327" s="323"/>
      <c r="D327" s="323"/>
      <c r="E327" s="323"/>
      <c r="F327" s="323"/>
      <c r="G327" s="586">
        <f>SUM(G301:G326)</f>
        <v>40263333.333333336</v>
      </c>
      <c r="H327" s="112">
        <f>G327/8136</f>
        <v>4948.7872828580794</v>
      </c>
      <c r="I327" s="554"/>
    </row>
    <row r="328" spans="1:13" ht="27" thickBot="1" x14ac:dyDescent="0.3">
      <c r="A328" s="587"/>
      <c r="B328" s="588"/>
      <c r="C328" s="589" t="s">
        <v>1273</v>
      </c>
      <c r="D328" s="588"/>
      <c r="E328" s="588"/>
      <c r="F328" s="588"/>
      <c r="G328" s="590">
        <f>G30+G51+G72+G93+G114+G134+G159+G183+G207+G231+G255+G279+G300+G327</f>
        <v>499961333.33333331</v>
      </c>
      <c r="H328" s="591">
        <f>G328/8136</f>
        <v>61450.508030154044</v>
      </c>
      <c r="I328" s="592"/>
    </row>
    <row r="329" spans="1:13" s="301" customFormat="1" x14ac:dyDescent="0.25">
      <c r="A329" s="594"/>
      <c r="B329" s="595"/>
      <c r="C329" s="595"/>
      <c r="D329" s="595"/>
      <c r="E329" s="595"/>
      <c r="F329" s="595"/>
      <c r="G329" s="596"/>
      <c r="H329" s="597"/>
    </row>
    <row r="330" spans="1:13" s="599" customFormat="1" ht="18.75" x14ac:dyDescent="0.25">
      <c r="A330" s="782" t="s">
        <v>10</v>
      </c>
      <c r="B330" s="782"/>
      <c r="C330" s="782"/>
      <c r="D330" s="782"/>
      <c r="E330" s="782"/>
      <c r="F330" s="782"/>
      <c r="G330" s="782"/>
      <c r="H330" s="598"/>
    </row>
    <row r="331" spans="1:13" s="602" customFormat="1" ht="18.75" x14ac:dyDescent="0.25">
      <c r="A331" s="600" t="s">
        <v>35</v>
      </c>
      <c r="B331" s="783" t="s">
        <v>1274</v>
      </c>
      <c r="C331" s="783"/>
      <c r="D331" s="783"/>
      <c r="E331" s="783"/>
      <c r="F331" s="783"/>
      <c r="G331" s="783"/>
      <c r="H331" s="601"/>
    </row>
    <row r="332" spans="1:13" s="605" customFormat="1" ht="18.75" x14ac:dyDescent="0.25">
      <c r="A332" s="603"/>
      <c r="B332" s="783" t="s">
        <v>143</v>
      </c>
      <c r="C332" s="783"/>
      <c r="D332" s="783"/>
      <c r="E332" s="783"/>
      <c r="F332" s="783"/>
      <c r="G332" s="783"/>
      <c r="H332" s="604"/>
    </row>
    <row r="333" spans="1:13" s="480" customFormat="1" ht="16.5" thickBot="1" x14ac:dyDescent="0.3">
      <c r="G333" s="481"/>
    </row>
    <row r="334" spans="1:13" s="612" customFormat="1" ht="37.5" x14ac:dyDescent="0.25">
      <c r="A334" s="606">
        <v>1</v>
      </c>
      <c r="B334" s="607" t="s">
        <v>153</v>
      </c>
      <c r="C334" s="608" t="s">
        <v>39</v>
      </c>
      <c r="D334" s="608">
        <v>150000</v>
      </c>
      <c r="E334" s="608">
        <v>1</v>
      </c>
      <c r="F334" s="608">
        <v>1</v>
      </c>
      <c r="G334" s="609">
        <f>D334*E334*F334</f>
        <v>150000</v>
      </c>
      <c r="H334" s="610"/>
      <c r="I334" s="611"/>
      <c r="J334" s="611"/>
      <c r="K334" s="611"/>
      <c r="L334" s="611"/>
      <c r="M334" s="611"/>
    </row>
    <row r="335" spans="1:13" s="612" customFormat="1" ht="18.75" x14ac:dyDescent="0.25">
      <c r="A335" s="613"/>
      <c r="B335" s="614" t="s">
        <v>1275</v>
      </c>
      <c r="C335" s="615" t="s">
        <v>155</v>
      </c>
      <c r="D335" s="615">
        <v>180000</v>
      </c>
      <c r="E335" s="615">
        <v>1</v>
      </c>
      <c r="F335" s="615">
        <v>3</v>
      </c>
      <c r="G335" s="616">
        <f>D335*E335*F335</f>
        <v>540000</v>
      </c>
      <c r="H335" s="610"/>
      <c r="I335" s="611"/>
      <c r="J335" s="611"/>
      <c r="K335" s="611"/>
      <c r="L335" s="611"/>
      <c r="M335" s="611"/>
    </row>
    <row r="336" spans="1:13" s="612" customFormat="1" ht="18.75" x14ac:dyDescent="0.25">
      <c r="A336" s="613"/>
      <c r="B336" s="614" t="s">
        <v>1276</v>
      </c>
      <c r="C336" s="615" t="s">
        <v>157</v>
      </c>
      <c r="D336" s="615">
        <v>100000</v>
      </c>
      <c r="E336" s="615">
        <v>1</v>
      </c>
      <c r="F336" s="615">
        <v>4</v>
      </c>
      <c r="G336" s="616">
        <f>D336*E336*F336</f>
        <v>400000</v>
      </c>
      <c r="H336" s="610"/>
      <c r="I336" s="611"/>
      <c r="J336" s="611"/>
      <c r="K336" s="611"/>
      <c r="L336" s="611"/>
      <c r="M336" s="611"/>
    </row>
    <row r="337" spans="1:13" s="612" customFormat="1" ht="18.75" x14ac:dyDescent="0.25">
      <c r="A337" s="613"/>
      <c r="B337" s="614" t="s">
        <v>158</v>
      </c>
      <c r="C337" s="615" t="s">
        <v>159</v>
      </c>
      <c r="D337" s="615">
        <v>150000</v>
      </c>
      <c r="E337" s="615">
        <v>2</v>
      </c>
      <c r="F337" s="615">
        <v>3</v>
      </c>
      <c r="G337" s="616">
        <f>D337*E337*F337</f>
        <v>900000</v>
      </c>
      <c r="H337" s="610"/>
      <c r="I337" s="611"/>
      <c r="J337" s="611"/>
      <c r="K337" s="611"/>
      <c r="L337" s="611"/>
      <c r="M337" s="611"/>
    </row>
    <row r="338" spans="1:13" s="612" customFormat="1" ht="18.75" x14ac:dyDescent="0.25">
      <c r="A338" s="613"/>
      <c r="B338" s="617"/>
      <c r="C338" s="615" t="s">
        <v>160</v>
      </c>
      <c r="D338" s="615">
        <v>100000</v>
      </c>
      <c r="E338" s="615">
        <v>2</v>
      </c>
      <c r="F338" s="615">
        <v>4</v>
      </c>
      <c r="G338" s="616">
        <f t="shared" ref="G338" si="16">D338*E338*F338</f>
        <v>800000</v>
      </c>
      <c r="H338" s="610"/>
      <c r="I338" s="611"/>
      <c r="J338" s="611"/>
      <c r="K338" s="611"/>
      <c r="L338" s="611"/>
      <c r="M338" s="611"/>
    </row>
    <row r="339" spans="1:13" s="612" customFormat="1" ht="37.5" x14ac:dyDescent="0.25">
      <c r="A339" s="613"/>
      <c r="B339" s="617"/>
      <c r="C339" s="618" t="s">
        <v>161</v>
      </c>
      <c r="D339" s="615">
        <v>150000</v>
      </c>
      <c r="E339" s="615">
        <v>7</v>
      </c>
      <c r="F339" s="615">
        <v>3</v>
      </c>
      <c r="G339" s="616">
        <f>D339*E339*F339</f>
        <v>3150000</v>
      </c>
      <c r="H339" s="610"/>
      <c r="I339" s="611"/>
      <c r="J339" s="611"/>
      <c r="K339" s="611"/>
      <c r="L339" s="611"/>
      <c r="M339" s="611"/>
    </row>
    <row r="340" spans="1:13" s="612" customFormat="1" ht="37.5" x14ac:dyDescent="0.25">
      <c r="A340" s="613"/>
      <c r="C340" s="618" t="s">
        <v>162</v>
      </c>
      <c r="D340" s="615">
        <v>100000</v>
      </c>
      <c r="E340" s="615">
        <v>7</v>
      </c>
      <c r="F340" s="615">
        <v>4</v>
      </c>
      <c r="G340" s="616">
        <f>D340*E340*F340</f>
        <v>2800000</v>
      </c>
      <c r="H340" s="610"/>
      <c r="I340" s="611"/>
      <c r="J340" s="611"/>
      <c r="K340" s="611"/>
      <c r="L340" s="611"/>
      <c r="M340" s="611"/>
    </row>
    <row r="341" spans="1:13" s="612" customFormat="1" ht="18.75" x14ac:dyDescent="0.25">
      <c r="A341" s="613"/>
      <c r="C341" s="615" t="s">
        <v>163</v>
      </c>
      <c r="D341" s="615">
        <v>150000</v>
      </c>
      <c r="E341" s="615">
        <v>2</v>
      </c>
      <c r="F341" s="615">
        <v>3</v>
      </c>
      <c r="G341" s="616">
        <f>D341*E341*F341</f>
        <v>900000</v>
      </c>
      <c r="H341" s="610"/>
      <c r="I341" s="611"/>
      <c r="J341" s="611"/>
      <c r="K341" s="611"/>
      <c r="L341" s="611"/>
      <c r="M341" s="611"/>
    </row>
    <row r="342" spans="1:13" s="612" customFormat="1" ht="18.75" x14ac:dyDescent="0.25">
      <c r="A342" s="613"/>
      <c r="C342" s="615" t="s">
        <v>164</v>
      </c>
      <c r="D342" s="615">
        <v>100000</v>
      </c>
      <c r="E342" s="615">
        <v>2</v>
      </c>
      <c r="F342" s="615">
        <v>4</v>
      </c>
      <c r="G342" s="616">
        <f t="shared" ref="G342:G376" si="17">D342*E342*F342</f>
        <v>800000</v>
      </c>
      <c r="H342" s="610"/>
      <c r="I342" s="611"/>
      <c r="J342" s="611"/>
      <c r="K342" s="611"/>
      <c r="L342" s="611"/>
      <c r="M342" s="611"/>
    </row>
    <row r="343" spans="1:13" s="612" customFormat="1" ht="18.75" x14ac:dyDescent="0.25">
      <c r="A343" s="613"/>
      <c r="C343" s="615" t="s">
        <v>165</v>
      </c>
      <c r="D343" s="615">
        <v>150000</v>
      </c>
      <c r="E343" s="615">
        <v>7</v>
      </c>
      <c r="F343" s="615">
        <v>3</v>
      </c>
      <c r="G343" s="616">
        <f>D343*E343*F343</f>
        <v>3150000</v>
      </c>
      <c r="H343" s="610"/>
      <c r="I343" s="611"/>
      <c r="J343" s="611"/>
      <c r="K343" s="611"/>
      <c r="L343" s="611"/>
      <c r="M343" s="611"/>
    </row>
    <row r="344" spans="1:13" s="612" customFormat="1" ht="18.75" x14ac:dyDescent="0.25">
      <c r="A344" s="613"/>
      <c r="C344" s="615" t="s">
        <v>166</v>
      </c>
      <c r="D344" s="615">
        <v>100000</v>
      </c>
      <c r="E344" s="615">
        <v>7</v>
      </c>
      <c r="F344" s="615">
        <v>4</v>
      </c>
      <c r="G344" s="616">
        <f>D344*E344*F344</f>
        <v>2800000</v>
      </c>
      <c r="H344" s="610"/>
      <c r="I344" s="611"/>
      <c r="J344" s="611"/>
      <c r="K344" s="611"/>
      <c r="L344" s="611"/>
      <c r="M344" s="611"/>
    </row>
    <row r="345" spans="1:13" s="612" customFormat="1" ht="18.75" x14ac:dyDescent="0.25">
      <c r="A345" s="613"/>
      <c r="C345" s="615" t="s">
        <v>167</v>
      </c>
      <c r="D345" s="615">
        <v>150000</v>
      </c>
      <c r="E345" s="615">
        <v>1</v>
      </c>
      <c r="F345" s="615">
        <v>3</v>
      </c>
      <c r="G345" s="616">
        <f>D345*E345*F345</f>
        <v>450000</v>
      </c>
      <c r="H345" s="610"/>
      <c r="I345" s="611"/>
      <c r="J345" s="611"/>
      <c r="K345" s="611"/>
      <c r="L345" s="611"/>
      <c r="M345" s="611"/>
    </row>
    <row r="346" spans="1:13" s="612" customFormat="1" ht="18.75" x14ac:dyDescent="0.25">
      <c r="A346" s="613"/>
      <c r="C346" s="615" t="s">
        <v>168</v>
      </c>
      <c r="D346" s="615">
        <v>100000</v>
      </c>
      <c r="E346" s="615">
        <f>E345</f>
        <v>1</v>
      </c>
      <c r="F346" s="615">
        <v>4</v>
      </c>
      <c r="G346" s="616">
        <f>D346*E346*F346</f>
        <v>400000</v>
      </c>
      <c r="H346" s="610"/>
      <c r="I346" s="611"/>
      <c r="J346" s="611"/>
      <c r="K346" s="611"/>
      <c r="L346" s="611"/>
      <c r="M346" s="611"/>
    </row>
    <row r="347" spans="1:13" s="612" customFormat="1" ht="18.75" x14ac:dyDescent="0.25">
      <c r="A347" s="613"/>
      <c r="C347" s="615" t="s">
        <v>169</v>
      </c>
      <c r="D347" s="615">
        <v>150000</v>
      </c>
      <c r="E347" s="615">
        <f>3*3</f>
        <v>9</v>
      </c>
      <c r="F347" s="615">
        <v>5</v>
      </c>
      <c r="G347" s="616">
        <f t="shared" si="17"/>
        <v>6750000</v>
      </c>
      <c r="H347" s="610"/>
      <c r="I347" s="611"/>
      <c r="J347" s="611"/>
      <c r="K347" s="611"/>
      <c r="L347" s="611"/>
      <c r="M347" s="611"/>
    </row>
    <row r="348" spans="1:13" s="612" customFormat="1" ht="18.75" x14ac:dyDescent="0.25">
      <c r="A348" s="613"/>
      <c r="C348" s="615" t="s">
        <v>170</v>
      </c>
      <c r="D348" s="615">
        <v>100000</v>
      </c>
      <c r="E348" s="615">
        <f>E347</f>
        <v>9</v>
      </c>
      <c r="F348" s="615">
        <v>6</v>
      </c>
      <c r="G348" s="616">
        <f>D348*E348*F348</f>
        <v>5400000</v>
      </c>
      <c r="H348" s="610"/>
      <c r="I348" s="611"/>
      <c r="J348" s="611"/>
      <c r="K348" s="611"/>
      <c r="L348" s="611"/>
      <c r="M348" s="611"/>
    </row>
    <row r="349" spans="1:13" s="612" customFormat="1" ht="18.75" x14ac:dyDescent="0.25">
      <c r="A349" s="613"/>
      <c r="C349" s="615" t="s">
        <v>171</v>
      </c>
      <c r="D349" s="615">
        <f>D347</f>
        <v>150000</v>
      </c>
      <c r="E349" s="615">
        <f>3*1</f>
        <v>3</v>
      </c>
      <c r="F349" s="615">
        <v>5</v>
      </c>
      <c r="G349" s="616">
        <f t="shared" si="17"/>
        <v>2250000</v>
      </c>
      <c r="H349" s="610"/>
      <c r="I349" s="611"/>
      <c r="J349" s="611"/>
      <c r="K349" s="611"/>
      <c r="L349" s="611"/>
      <c r="M349" s="611"/>
    </row>
    <row r="350" spans="1:13" s="612" customFormat="1" ht="18.75" x14ac:dyDescent="0.25">
      <c r="A350" s="613"/>
      <c r="C350" s="615" t="s">
        <v>172</v>
      </c>
      <c r="D350" s="615">
        <v>100000</v>
      </c>
      <c r="E350" s="615">
        <f>E349</f>
        <v>3</v>
      </c>
      <c r="F350" s="615">
        <v>6</v>
      </c>
      <c r="G350" s="616">
        <f>D350*E350*F350</f>
        <v>1800000</v>
      </c>
      <c r="H350" s="610"/>
      <c r="I350" s="611"/>
      <c r="J350" s="611"/>
      <c r="K350" s="611"/>
      <c r="L350" s="611"/>
      <c r="M350" s="611"/>
    </row>
    <row r="351" spans="1:13" s="612" customFormat="1" ht="18.75" x14ac:dyDescent="0.25">
      <c r="A351" s="613"/>
      <c r="C351" s="615" t="s">
        <v>173</v>
      </c>
      <c r="D351" s="615">
        <v>150000</v>
      </c>
      <c r="E351" s="615">
        <f>13*3</f>
        <v>39</v>
      </c>
      <c r="F351" s="615">
        <v>4</v>
      </c>
      <c r="G351" s="616">
        <f t="shared" si="17"/>
        <v>23400000</v>
      </c>
      <c r="H351" s="610"/>
      <c r="I351" s="611"/>
      <c r="J351" s="611"/>
      <c r="K351" s="611"/>
      <c r="L351" s="611"/>
      <c r="M351" s="611"/>
    </row>
    <row r="352" spans="1:13" s="612" customFormat="1" ht="18.75" x14ac:dyDescent="0.25">
      <c r="A352" s="613"/>
      <c r="C352" s="615" t="s">
        <v>174</v>
      </c>
      <c r="D352" s="615">
        <v>100000</v>
      </c>
      <c r="E352" s="615">
        <f>E351</f>
        <v>39</v>
      </c>
      <c r="F352" s="615">
        <v>5</v>
      </c>
      <c r="G352" s="616">
        <f>D352*E352*F352</f>
        <v>19500000</v>
      </c>
      <c r="H352" s="610"/>
      <c r="I352" s="611"/>
      <c r="J352" s="611"/>
      <c r="K352" s="611"/>
      <c r="L352" s="611"/>
      <c r="M352" s="611"/>
    </row>
    <row r="353" spans="1:13" s="612" customFormat="1" ht="18.75" x14ac:dyDescent="0.25">
      <c r="A353" s="613"/>
      <c r="C353" s="615" t="s">
        <v>175</v>
      </c>
      <c r="D353" s="615">
        <v>150000</v>
      </c>
      <c r="E353" s="615">
        <f>13*1</f>
        <v>13</v>
      </c>
      <c r="F353" s="615">
        <v>4</v>
      </c>
      <c r="G353" s="616">
        <f>D353*E353*F353</f>
        <v>7800000</v>
      </c>
      <c r="H353" s="610"/>
      <c r="I353" s="611"/>
      <c r="J353" s="611"/>
      <c r="K353" s="611"/>
      <c r="L353" s="611"/>
      <c r="M353" s="611"/>
    </row>
    <row r="354" spans="1:13" s="612" customFormat="1" ht="18.75" x14ac:dyDescent="0.25">
      <c r="A354" s="613"/>
      <c r="C354" s="615" t="s">
        <v>176</v>
      </c>
      <c r="D354" s="615">
        <v>100000</v>
      </c>
      <c r="E354" s="615">
        <f>E353</f>
        <v>13</v>
      </c>
      <c r="F354" s="615">
        <v>5</v>
      </c>
      <c r="G354" s="616">
        <f t="shared" si="17"/>
        <v>6500000</v>
      </c>
      <c r="H354" s="610"/>
      <c r="I354" s="611"/>
      <c r="J354" s="611"/>
      <c r="K354" s="611"/>
      <c r="L354" s="611"/>
      <c r="M354" s="611"/>
    </row>
    <row r="355" spans="1:13" s="621" customFormat="1" ht="18.75" x14ac:dyDescent="0.25">
      <c r="A355" s="613"/>
      <c r="B355" s="614"/>
      <c r="C355" s="615" t="s">
        <v>177</v>
      </c>
      <c r="D355" s="615">
        <v>7000</v>
      </c>
      <c r="E355" s="615">
        <f>137/6</f>
        <v>22.833333333333332</v>
      </c>
      <c r="F355" s="615">
        <v>2</v>
      </c>
      <c r="G355" s="616">
        <f t="shared" si="17"/>
        <v>319666.66666666663</v>
      </c>
      <c r="H355" s="619"/>
      <c r="I355" s="620"/>
      <c r="J355" s="620"/>
      <c r="K355" s="620"/>
      <c r="L355" s="620"/>
      <c r="M355" s="620"/>
    </row>
    <row r="356" spans="1:13" s="621" customFormat="1" ht="18.75" x14ac:dyDescent="0.25">
      <c r="A356" s="613"/>
      <c r="B356" s="614"/>
      <c r="C356" s="615" t="s">
        <v>178</v>
      </c>
      <c r="D356" s="615">
        <v>7000</v>
      </c>
      <c r="E356" s="615">
        <f>61/6</f>
        <v>10.166666666666666</v>
      </c>
      <c r="F356" s="615">
        <v>2</v>
      </c>
      <c r="G356" s="616">
        <f t="shared" si="17"/>
        <v>142333.33333333331</v>
      </c>
      <c r="H356" s="619"/>
      <c r="I356" s="620"/>
      <c r="J356" s="620"/>
      <c r="K356" s="620"/>
      <c r="L356" s="620"/>
      <c r="M356" s="620"/>
    </row>
    <row r="357" spans="1:13" s="612" customFormat="1" ht="18.75" x14ac:dyDescent="0.25">
      <c r="A357" s="613"/>
      <c r="B357" s="614"/>
      <c r="C357" s="615" t="s">
        <v>179</v>
      </c>
      <c r="D357" s="615">
        <v>7000</v>
      </c>
      <c r="E357" s="615">
        <f>757/6</f>
        <v>126.16666666666667</v>
      </c>
      <c r="F357" s="615">
        <v>2</v>
      </c>
      <c r="G357" s="616">
        <f t="shared" si="17"/>
        <v>1766333.3333333335</v>
      </c>
      <c r="H357" s="610"/>
      <c r="I357" s="611"/>
      <c r="J357" s="611"/>
      <c r="K357" s="611"/>
      <c r="L357" s="611"/>
      <c r="M357" s="611"/>
    </row>
    <row r="358" spans="1:13" s="612" customFormat="1" ht="18.75" x14ac:dyDescent="0.25">
      <c r="A358" s="613"/>
      <c r="B358" s="614"/>
      <c r="C358" s="615" t="s">
        <v>180</v>
      </c>
      <c r="D358" s="615">
        <v>7000</v>
      </c>
      <c r="E358" s="615">
        <f>680/6</f>
        <v>113.33333333333333</v>
      </c>
      <c r="F358" s="615">
        <v>2</v>
      </c>
      <c r="G358" s="616">
        <f t="shared" si="17"/>
        <v>1586666.6666666665</v>
      </c>
      <c r="H358" s="610"/>
      <c r="I358" s="611"/>
      <c r="J358" s="611"/>
      <c r="K358" s="611"/>
      <c r="L358" s="611"/>
      <c r="M358" s="611"/>
    </row>
    <row r="359" spans="1:13" s="612" customFormat="1" ht="18.75" x14ac:dyDescent="0.25">
      <c r="A359" s="613"/>
      <c r="B359" s="614"/>
      <c r="C359" s="615" t="s">
        <v>181</v>
      </c>
      <c r="D359" s="615">
        <v>7000</v>
      </c>
      <c r="E359" s="615">
        <f>568/6</f>
        <v>94.666666666666671</v>
      </c>
      <c r="F359" s="615">
        <v>2</v>
      </c>
      <c r="G359" s="616">
        <f t="shared" si="17"/>
        <v>1325333.3333333335</v>
      </c>
      <c r="H359" s="610"/>
      <c r="I359" s="611"/>
      <c r="J359" s="611"/>
      <c r="K359" s="611"/>
      <c r="L359" s="611"/>
      <c r="M359" s="611"/>
    </row>
    <row r="360" spans="1:13" s="612" customFormat="1" ht="18.75" x14ac:dyDescent="0.25">
      <c r="A360" s="613"/>
      <c r="B360" s="614"/>
      <c r="C360" s="615" t="s">
        <v>182</v>
      </c>
      <c r="D360" s="615">
        <v>7000</v>
      </c>
      <c r="E360" s="615">
        <f>768/6</f>
        <v>128</v>
      </c>
      <c r="F360" s="615">
        <v>2</v>
      </c>
      <c r="G360" s="616">
        <f t="shared" si="17"/>
        <v>1792000</v>
      </c>
      <c r="H360" s="610"/>
      <c r="I360" s="611"/>
      <c r="J360" s="611"/>
      <c r="K360" s="611"/>
      <c r="L360" s="611"/>
      <c r="M360" s="611"/>
    </row>
    <row r="361" spans="1:13" s="612" customFormat="1" ht="18.75" x14ac:dyDescent="0.25">
      <c r="A361" s="613"/>
      <c r="B361" s="614"/>
      <c r="C361" s="615" t="s">
        <v>183</v>
      </c>
      <c r="D361" s="615">
        <v>7000</v>
      </c>
      <c r="E361" s="615">
        <f>1024/7</f>
        <v>146.28571428571428</v>
      </c>
      <c r="F361" s="615">
        <v>2</v>
      </c>
      <c r="G361" s="616">
        <f t="shared" si="17"/>
        <v>2048000</v>
      </c>
      <c r="H361" s="610"/>
      <c r="I361" s="611"/>
      <c r="J361" s="611"/>
      <c r="K361" s="611"/>
      <c r="L361" s="611"/>
      <c r="M361" s="611"/>
    </row>
    <row r="362" spans="1:13" s="612" customFormat="1" ht="18.75" x14ac:dyDescent="0.25">
      <c r="A362" s="613"/>
      <c r="B362" s="614"/>
      <c r="C362" s="615" t="s">
        <v>184</v>
      </c>
      <c r="D362" s="615">
        <v>7000</v>
      </c>
      <c r="E362" s="615">
        <f>812/7</f>
        <v>116</v>
      </c>
      <c r="F362" s="615">
        <v>2</v>
      </c>
      <c r="G362" s="616">
        <f t="shared" si="17"/>
        <v>1624000</v>
      </c>
      <c r="H362" s="610"/>
      <c r="I362" s="611"/>
      <c r="J362" s="611"/>
      <c r="K362" s="611"/>
      <c r="L362" s="611"/>
      <c r="M362" s="611"/>
    </row>
    <row r="363" spans="1:13" s="612" customFormat="1" ht="18.75" x14ac:dyDescent="0.25">
      <c r="A363" s="613"/>
      <c r="B363" s="614"/>
      <c r="C363" s="615" t="s">
        <v>185</v>
      </c>
      <c r="D363" s="615">
        <v>7000</v>
      </c>
      <c r="E363" s="615">
        <f>817/7</f>
        <v>116.71428571428571</v>
      </c>
      <c r="F363" s="615">
        <v>2</v>
      </c>
      <c r="G363" s="616">
        <f t="shared" si="17"/>
        <v>1634000</v>
      </c>
      <c r="H363" s="610"/>
      <c r="I363" s="611"/>
      <c r="J363" s="611"/>
      <c r="K363" s="611"/>
      <c r="L363" s="611"/>
      <c r="M363" s="611"/>
    </row>
    <row r="364" spans="1:13" s="612" customFormat="1" ht="18.75" x14ac:dyDescent="0.25">
      <c r="A364" s="613"/>
      <c r="B364" s="614"/>
      <c r="C364" s="615" t="s">
        <v>186</v>
      </c>
      <c r="D364" s="615">
        <v>7000</v>
      </c>
      <c r="E364" s="615">
        <f>940/7</f>
        <v>134.28571428571428</v>
      </c>
      <c r="F364" s="615">
        <v>2</v>
      </c>
      <c r="G364" s="616">
        <f t="shared" si="17"/>
        <v>1880000</v>
      </c>
      <c r="H364" s="610"/>
      <c r="I364" s="611"/>
      <c r="J364" s="611"/>
      <c r="K364" s="611"/>
      <c r="L364" s="611"/>
      <c r="M364" s="611"/>
    </row>
    <row r="365" spans="1:13" s="612" customFormat="1" ht="18.75" x14ac:dyDescent="0.25">
      <c r="A365" s="613"/>
      <c r="B365" s="614"/>
      <c r="C365" s="615" t="s">
        <v>187</v>
      </c>
      <c r="D365" s="615">
        <v>7000</v>
      </c>
      <c r="E365" s="615">
        <f>444/6</f>
        <v>74</v>
      </c>
      <c r="F365" s="615">
        <v>2</v>
      </c>
      <c r="G365" s="616">
        <f t="shared" si="17"/>
        <v>1036000</v>
      </c>
      <c r="H365" s="610"/>
      <c r="I365" s="611"/>
      <c r="J365" s="611"/>
      <c r="K365" s="611"/>
      <c r="L365" s="611"/>
      <c r="M365" s="611"/>
    </row>
    <row r="366" spans="1:13" s="612" customFormat="1" ht="18.75" x14ac:dyDescent="0.25">
      <c r="A366" s="613"/>
      <c r="B366" s="614"/>
      <c r="C366" s="615" t="s">
        <v>188</v>
      </c>
      <c r="D366" s="615">
        <v>7000</v>
      </c>
      <c r="E366" s="615">
        <f>248/6</f>
        <v>41.333333333333336</v>
      </c>
      <c r="F366" s="615">
        <v>2</v>
      </c>
      <c r="G366" s="616">
        <f t="shared" si="17"/>
        <v>578666.66666666674</v>
      </c>
      <c r="H366" s="610"/>
      <c r="I366" s="611"/>
      <c r="J366" s="611"/>
      <c r="K366" s="611"/>
      <c r="L366" s="611"/>
      <c r="M366" s="611"/>
    </row>
    <row r="367" spans="1:13" s="612" customFormat="1" ht="18.75" x14ac:dyDescent="0.25">
      <c r="A367" s="613"/>
      <c r="B367" s="614"/>
      <c r="C367" s="615" t="s">
        <v>189</v>
      </c>
      <c r="D367" s="615">
        <v>7000</v>
      </c>
      <c r="E367" s="615">
        <f>310/6</f>
        <v>51.666666666666664</v>
      </c>
      <c r="F367" s="615">
        <v>2</v>
      </c>
      <c r="G367" s="616">
        <f t="shared" si="17"/>
        <v>723333.33333333326</v>
      </c>
      <c r="H367" s="610"/>
      <c r="I367" s="611"/>
      <c r="J367" s="611"/>
      <c r="K367" s="611"/>
      <c r="L367" s="611"/>
      <c r="M367" s="611"/>
    </row>
    <row r="368" spans="1:13" s="612" customFormat="1" ht="18.75" x14ac:dyDescent="0.25">
      <c r="A368" s="613"/>
      <c r="B368" s="614"/>
      <c r="C368" s="615" t="s">
        <v>190</v>
      </c>
      <c r="D368" s="615">
        <v>7000</v>
      </c>
      <c r="E368" s="615">
        <f>528/6</f>
        <v>88</v>
      </c>
      <c r="F368" s="615">
        <v>2</v>
      </c>
      <c r="G368" s="616">
        <f t="shared" si="17"/>
        <v>1232000</v>
      </c>
      <c r="H368" s="610"/>
      <c r="I368" s="611"/>
      <c r="J368" s="611"/>
      <c r="K368" s="611"/>
      <c r="L368" s="611"/>
      <c r="M368" s="611"/>
    </row>
    <row r="369" spans="1:13" s="612" customFormat="1" ht="18.75" x14ac:dyDescent="0.25">
      <c r="A369" s="613"/>
      <c r="B369" s="614"/>
      <c r="C369" s="615" t="s">
        <v>191</v>
      </c>
      <c r="D369" s="615">
        <v>7000</v>
      </c>
      <c r="E369" s="615">
        <f>342/6</f>
        <v>57</v>
      </c>
      <c r="F369" s="615">
        <v>2</v>
      </c>
      <c r="G369" s="616">
        <f t="shared" si="17"/>
        <v>798000</v>
      </c>
      <c r="H369" s="610"/>
      <c r="I369" s="611"/>
      <c r="J369" s="611"/>
      <c r="K369" s="611"/>
      <c r="L369" s="611"/>
      <c r="M369" s="611"/>
    </row>
    <row r="370" spans="1:13" s="612" customFormat="1" ht="18.75" x14ac:dyDescent="0.25">
      <c r="A370" s="613"/>
      <c r="B370" s="614"/>
      <c r="C370" s="615" t="s">
        <v>192</v>
      </c>
      <c r="D370" s="615">
        <v>7000</v>
      </c>
      <c r="E370" s="615">
        <f>283/7</f>
        <v>40.428571428571431</v>
      </c>
      <c r="F370" s="615">
        <v>2</v>
      </c>
      <c r="G370" s="616">
        <f t="shared" si="17"/>
        <v>566000</v>
      </c>
      <c r="H370" s="610"/>
      <c r="I370" s="611"/>
      <c r="J370" s="611"/>
      <c r="K370" s="611"/>
      <c r="L370" s="611"/>
      <c r="M370" s="611"/>
    </row>
    <row r="371" spans="1:13" s="612" customFormat="1" ht="18.75" x14ac:dyDescent="0.25">
      <c r="A371" s="613"/>
      <c r="B371" s="614"/>
      <c r="C371" s="615" t="s">
        <v>193</v>
      </c>
      <c r="D371" s="615">
        <v>7000</v>
      </c>
      <c r="E371" s="615">
        <f>474/7</f>
        <v>67.714285714285708</v>
      </c>
      <c r="F371" s="615">
        <v>2</v>
      </c>
      <c r="G371" s="616">
        <f t="shared" si="17"/>
        <v>947999.99999999988</v>
      </c>
      <c r="H371" s="610"/>
      <c r="I371" s="611"/>
      <c r="J371" s="611"/>
      <c r="K371" s="611"/>
      <c r="L371" s="611"/>
      <c r="M371" s="611"/>
    </row>
    <row r="372" spans="1:13" s="612" customFormat="1" ht="18.75" x14ac:dyDescent="0.25">
      <c r="A372" s="613"/>
      <c r="B372" s="614"/>
      <c r="C372" s="615" t="s">
        <v>194</v>
      </c>
      <c r="D372" s="615">
        <v>7000</v>
      </c>
      <c r="E372" s="615">
        <f>608/7</f>
        <v>86.857142857142861</v>
      </c>
      <c r="F372" s="615">
        <v>2</v>
      </c>
      <c r="G372" s="616">
        <f t="shared" si="17"/>
        <v>1216000</v>
      </c>
      <c r="H372" s="610"/>
      <c r="I372" s="611"/>
      <c r="J372" s="611"/>
      <c r="K372" s="611"/>
      <c r="L372" s="611"/>
      <c r="M372" s="611"/>
    </row>
    <row r="373" spans="1:13" s="621" customFormat="1" ht="18.75" x14ac:dyDescent="0.25">
      <c r="A373" s="613"/>
      <c r="B373" s="614"/>
      <c r="C373" s="615" t="s">
        <v>195</v>
      </c>
      <c r="D373" s="615">
        <v>7000</v>
      </c>
      <c r="E373" s="615">
        <f>137/6</f>
        <v>22.833333333333332</v>
      </c>
      <c r="F373" s="615">
        <v>4</v>
      </c>
      <c r="G373" s="616">
        <f t="shared" si="17"/>
        <v>639333.33333333326</v>
      </c>
      <c r="H373" s="619"/>
      <c r="I373" s="620"/>
      <c r="J373" s="620"/>
      <c r="K373" s="620"/>
      <c r="L373" s="620"/>
      <c r="M373" s="620"/>
    </row>
    <row r="374" spans="1:13" s="612" customFormat="1" ht="18.75" x14ac:dyDescent="0.25">
      <c r="A374" s="613"/>
      <c r="B374" s="614"/>
      <c r="C374" s="615" t="s">
        <v>206</v>
      </c>
      <c r="D374" s="615">
        <f>7000</f>
        <v>7000</v>
      </c>
      <c r="E374" s="615">
        <v>180</v>
      </c>
      <c r="F374" s="615">
        <v>2</v>
      </c>
      <c r="G374" s="616">
        <f>D374*E374*F374</f>
        <v>2520000</v>
      </c>
      <c r="H374" s="610"/>
      <c r="I374" s="611"/>
      <c r="J374" s="611"/>
      <c r="K374" s="611"/>
      <c r="L374" s="611"/>
      <c r="M374" s="611"/>
    </row>
    <row r="375" spans="1:13" s="612" customFormat="1" ht="18.75" x14ac:dyDescent="0.25">
      <c r="A375" s="613"/>
      <c r="B375" s="614"/>
      <c r="C375" s="615" t="s">
        <v>149</v>
      </c>
      <c r="D375" s="615">
        <f>7000</f>
        <v>7000</v>
      </c>
      <c r="E375" s="615">
        <v>20</v>
      </c>
      <c r="F375" s="615">
        <v>2</v>
      </c>
      <c r="G375" s="616">
        <f>D375*E375*F375</f>
        <v>280000</v>
      </c>
      <c r="H375" s="610"/>
      <c r="I375" s="611"/>
      <c r="J375" s="611"/>
      <c r="K375" s="611"/>
      <c r="L375" s="611"/>
      <c r="M375" s="611"/>
    </row>
    <row r="376" spans="1:13" s="612" customFormat="1" ht="18.75" x14ac:dyDescent="0.25">
      <c r="A376" s="613"/>
      <c r="B376" s="614"/>
      <c r="C376" s="615" t="s">
        <v>198</v>
      </c>
      <c r="D376" s="615">
        <v>1000000</v>
      </c>
      <c r="E376" s="615">
        <v>1</v>
      </c>
      <c r="F376" s="615">
        <v>3</v>
      </c>
      <c r="G376" s="616">
        <f t="shared" si="17"/>
        <v>3000000</v>
      </c>
      <c r="H376" s="610"/>
      <c r="I376" s="611"/>
      <c r="J376" s="611"/>
      <c r="K376" s="611"/>
      <c r="L376" s="611"/>
      <c r="M376" s="611"/>
    </row>
    <row r="377" spans="1:13" s="612" customFormat="1" ht="18.75" x14ac:dyDescent="0.25">
      <c r="A377" s="613"/>
      <c r="B377" s="614"/>
      <c r="C377" s="618" t="s">
        <v>97</v>
      </c>
      <c r="D377" s="615">
        <v>20000</v>
      </c>
      <c r="E377" s="615">
        <v>64</v>
      </c>
      <c r="F377" s="615">
        <v>3</v>
      </c>
      <c r="G377" s="616">
        <f>D377*E377*F377</f>
        <v>3840000</v>
      </c>
      <c r="H377" s="610"/>
      <c r="I377" s="611"/>
      <c r="J377" s="611"/>
      <c r="K377" s="611"/>
      <c r="L377" s="611"/>
      <c r="M377" s="611"/>
    </row>
    <row r="378" spans="1:13" s="612" customFormat="1" ht="18.75" x14ac:dyDescent="0.25">
      <c r="A378" s="613"/>
      <c r="B378" s="614"/>
      <c r="C378" s="615" t="s">
        <v>60</v>
      </c>
      <c r="D378" s="615">
        <v>20000</v>
      </c>
      <c r="E378" s="615">
        <v>64</v>
      </c>
      <c r="F378" s="615">
        <v>1</v>
      </c>
      <c r="G378" s="616">
        <f>D378*E378*F378</f>
        <v>1280000</v>
      </c>
      <c r="H378" s="610"/>
      <c r="I378" s="611"/>
      <c r="J378" s="611"/>
      <c r="K378" s="611"/>
      <c r="L378" s="611"/>
      <c r="M378" s="611"/>
    </row>
    <row r="379" spans="1:13" s="612" customFormat="1" ht="18.75" x14ac:dyDescent="0.25">
      <c r="A379" s="613"/>
      <c r="B379" s="614"/>
      <c r="C379" s="615" t="s">
        <v>199</v>
      </c>
      <c r="D379" s="615">
        <v>3750</v>
      </c>
      <c r="E379" s="615">
        <v>64</v>
      </c>
      <c r="F379" s="615">
        <v>1</v>
      </c>
      <c r="G379" s="616">
        <f>D379*E379*F379</f>
        <v>240000</v>
      </c>
      <c r="H379" s="610"/>
      <c r="I379" s="611"/>
      <c r="J379" s="611"/>
      <c r="K379" s="611"/>
      <c r="L379" s="611"/>
      <c r="M379" s="611"/>
    </row>
    <row r="380" spans="1:13" s="612" customFormat="1" ht="18.75" x14ac:dyDescent="0.25">
      <c r="A380" s="613"/>
      <c r="B380" s="614"/>
      <c r="C380" s="615" t="s">
        <v>138</v>
      </c>
      <c r="D380" s="615">
        <v>50000</v>
      </c>
      <c r="E380" s="615">
        <v>50</v>
      </c>
      <c r="F380" s="615">
        <v>1</v>
      </c>
      <c r="G380" s="616">
        <f>D380*E380*F380</f>
        <v>2500000</v>
      </c>
      <c r="H380" s="610"/>
      <c r="I380" s="611"/>
      <c r="J380" s="611"/>
      <c r="K380" s="611"/>
      <c r="L380" s="611"/>
      <c r="M380" s="611"/>
    </row>
    <row r="381" spans="1:13" s="612" customFormat="1" ht="18.75" x14ac:dyDescent="0.25">
      <c r="A381" s="613"/>
      <c r="B381" s="614"/>
      <c r="C381" s="615" t="s">
        <v>200</v>
      </c>
      <c r="D381" s="615">
        <v>40000</v>
      </c>
      <c r="E381" s="615">
        <v>7</v>
      </c>
      <c r="F381" s="615">
        <v>3</v>
      </c>
      <c r="G381" s="616">
        <f>D381*E381*F381</f>
        <v>840000</v>
      </c>
      <c r="H381" s="610"/>
      <c r="I381" s="611"/>
      <c r="J381" s="611"/>
      <c r="K381" s="611"/>
      <c r="L381" s="611"/>
      <c r="M381" s="611"/>
    </row>
    <row r="382" spans="1:13" s="612" customFormat="1" ht="19.5" thickBot="1" x14ac:dyDescent="0.3">
      <c r="A382" s="613"/>
      <c r="B382" s="622"/>
      <c r="C382" s="615"/>
      <c r="D382" s="615"/>
      <c r="E382" s="615"/>
      <c r="F382" s="615"/>
      <c r="G382" s="616"/>
      <c r="H382" s="610"/>
      <c r="I382" s="611"/>
      <c r="J382" s="611"/>
      <c r="K382" s="611"/>
      <c r="L382" s="611"/>
      <c r="M382" s="611"/>
    </row>
    <row r="383" spans="1:13" s="612" customFormat="1" ht="19.5" thickBot="1" x14ac:dyDescent="0.3">
      <c r="A383" s="613"/>
      <c r="B383" s="622"/>
      <c r="C383" s="623" t="s">
        <v>140</v>
      </c>
      <c r="D383" s="623"/>
      <c r="E383" s="623"/>
      <c r="F383" s="623"/>
      <c r="G383" s="624">
        <f>SUM(G334:G382)</f>
        <v>126995666.66666666</v>
      </c>
      <c r="H383" s="625">
        <f>G383/8136</f>
        <v>15609.103572599146</v>
      </c>
      <c r="I383" s="611"/>
      <c r="J383" s="611"/>
      <c r="K383" s="611"/>
      <c r="L383" s="611"/>
      <c r="M383" s="611"/>
    </row>
    <row r="384" spans="1:13" s="612" customFormat="1" ht="56.25" x14ac:dyDescent="0.25">
      <c r="A384" s="606">
        <v>2</v>
      </c>
      <c r="B384" s="626" t="s">
        <v>1277</v>
      </c>
      <c r="C384" s="608" t="s">
        <v>39</v>
      </c>
      <c r="D384" s="608">
        <v>150000</v>
      </c>
      <c r="E384" s="608">
        <v>1</v>
      </c>
      <c r="F384" s="608">
        <v>1</v>
      </c>
      <c r="G384" s="609">
        <f t="shared" ref="G384" si="18">D384*E384*F384</f>
        <v>150000</v>
      </c>
      <c r="H384" s="610"/>
      <c r="I384" s="611"/>
      <c r="J384" s="611"/>
      <c r="K384" s="611"/>
      <c r="L384" s="611"/>
      <c r="M384" s="611"/>
    </row>
    <row r="385" spans="1:13" s="612" customFormat="1" ht="18.75" x14ac:dyDescent="0.25">
      <c r="A385" s="613"/>
      <c r="B385" s="627" t="s">
        <v>1275</v>
      </c>
      <c r="C385" s="615" t="s">
        <v>155</v>
      </c>
      <c r="D385" s="615">
        <v>180000</v>
      </c>
      <c r="E385" s="615">
        <v>1</v>
      </c>
      <c r="F385" s="615">
        <v>3</v>
      </c>
      <c r="G385" s="616">
        <f>D385*E385*F385</f>
        <v>540000</v>
      </c>
      <c r="H385" s="610"/>
      <c r="I385" s="611"/>
      <c r="J385" s="611"/>
      <c r="K385" s="611"/>
      <c r="L385" s="611"/>
      <c r="M385" s="611"/>
    </row>
    <row r="386" spans="1:13" s="612" customFormat="1" ht="18.75" x14ac:dyDescent="0.25">
      <c r="A386" s="613"/>
      <c r="B386" s="627" t="s">
        <v>1276</v>
      </c>
      <c r="C386" s="615" t="s">
        <v>157</v>
      </c>
      <c r="D386" s="615">
        <v>100000</v>
      </c>
      <c r="E386" s="615">
        <v>1</v>
      </c>
      <c r="F386" s="615">
        <v>4</v>
      </c>
      <c r="G386" s="616">
        <f t="shared" ref="G386" si="19">D386*E386*F386</f>
        <v>400000</v>
      </c>
      <c r="H386" s="610"/>
      <c r="I386" s="611"/>
      <c r="J386" s="611"/>
      <c r="K386" s="611"/>
      <c r="L386" s="611"/>
      <c r="M386" s="611"/>
    </row>
    <row r="387" spans="1:13" s="612" customFormat="1" ht="18.75" x14ac:dyDescent="0.25">
      <c r="A387" s="613"/>
      <c r="B387" s="627" t="s">
        <v>158</v>
      </c>
      <c r="C387" s="615" t="s">
        <v>159</v>
      </c>
      <c r="D387" s="615">
        <v>150000</v>
      </c>
      <c r="E387" s="615">
        <v>1</v>
      </c>
      <c r="F387" s="615">
        <v>3</v>
      </c>
      <c r="G387" s="616">
        <f>D387*E387*F387</f>
        <v>450000</v>
      </c>
      <c r="H387" s="610"/>
      <c r="I387" s="611"/>
      <c r="J387" s="611"/>
      <c r="K387" s="611"/>
      <c r="L387" s="611"/>
      <c r="M387" s="611"/>
    </row>
    <row r="388" spans="1:13" s="612" customFormat="1" ht="18.75" x14ac:dyDescent="0.25">
      <c r="A388" s="613"/>
      <c r="B388" s="617"/>
      <c r="C388" s="615" t="s">
        <v>160</v>
      </c>
      <c r="D388" s="615">
        <v>100000</v>
      </c>
      <c r="E388" s="615">
        <f>E387</f>
        <v>1</v>
      </c>
      <c r="F388" s="615">
        <v>4</v>
      </c>
      <c r="G388" s="616">
        <f t="shared" ref="G388:G423" si="20">D388*E388*F388</f>
        <v>400000</v>
      </c>
      <c r="H388" s="610"/>
      <c r="I388" s="611"/>
      <c r="J388" s="611"/>
      <c r="K388" s="611"/>
      <c r="L388" s="611"/>
      <c r="M388" s="611"/>
    </row>
    <row r="389" spans="1:13" s="612" customFormat="1" ht="37.5" x14ac:dyDescent="0.25">
      <c r="A389" s="613"/>
      <c r="B389" s="617"/>
      <c r="C389" s="618" t="s">
        <v>203</v>
      </c>
      <c r="D389" s="615">
        <v>150000</v>
      </c>
      <c r="E389" s="615">
        <v>5</v>
      </c>
      <c r="F389" s="615">
        <v>3</v>
      </c>
      <c r="G389" s="616">
        <f t="shared" si="20"/>
        <v>2250000</v>
      </c>
      <c r="H389" s="610"/>
      <c r="I389" s="611"/>
      <c r="J389" s="611"/>
      <c r="K389" s="611"/>
      <c r="L389" s="611"/>
      <c r="M389" s="611"/>
    </row>
    <row r="390" spans="1:13" s="612" customFormat="1" ht="37.5" x14ac:dyDescent="0.25">
      <c r="A390" s="613"/>
      <c r="C390" s="618" t="s">
        <v>204</v>
      </c>
      <c r="D390" s="615">
        <v>100000</v>
      </c>
      <c r="E390" s="615">
        <f>E389</f>
        <v>5</v>
      </c>
      <c r="F390" s="615">
        <v>4</v>
      </c>
      <c r="G390" s="616">
        <f t="shared" si="20"/>
        <v>2000000</v>
      </c>
      <c r="H390" s="610"/>
      <c r="I390" s="611"/>
      <c r="J390" s="611"/>
      <c r="K390" s="611"/>
      <c r="L390" s="611"/>
      <c r="M390" s="611"/>
    </row>
    <row r="391" spans="1:13" s="612" customFormat="1" ht="18.75" x14ac:dyDescent="0.25">
      <c r="A391" s="613"/>
      <c r="C391" s="615" t="s">
        <v>163</v>
      </c>
      <c r="D391" s="615">
        <v>150000</v>
      </c>
      <c r="E391" s="615">
        <v>2</v>
      </c>
      <c r="F391" s="615">
        <v>3</v>
      </c>
      <c r="G391" s="616">
        <f t="shared" si="20"/>
        <v>900000</v>
      </c>
      <c r="H391" s="610"/>
      <c r="I391" s="611"/>
      <c r="J391" s="611"/>
      <c r="K391" s="611"/>
      <c r="L391" s="611"/>
      <c r="M391" s="611"/>
    </row>
    <row r="392" spans="1:13" s="612" customFormat="1" ht="18.75" x14ac:dyDescent="0.25">
      <c r="A392" s="613"/>
      <c r="C392" s="615" t="s">
        <v>164</v>
      </c>
      <c r="D392" s="615">
        <v>100000</v>
      </c>
      <c r="E392" s="615">
        <v>2</v>
      </c>
      <c r="F392" s="615">
        <v>4</v>
      </c>
      <c r="G392" s="616">
        <f t="shared" si="20"/>
        <v>800000</v>
      </c>
      <c r="H392" s="610"/>
      <c r="I392" s="611"/>
      <c r="J392" s="611"/>
      <c r="K392" s="611"/>
      <c r="L392" s="611"/>
      <c r="M392" s="611"/>
    </row>
    <row r="393" spans="1:13" s="612" customFormat="1" ht="18.75" x14ac:dyDescent="0.25">
      <c r="A393" s="613"/>
      <c r="C393" s="615" t="s">
        <v>165</v>
      </c>
      <c r="D393" s="615">
        <v>150000</v>
      </c>
      <c r="E393" s="615">
        <v>5</v>
      </c>
      <c r="F393" s="615">
        <v>3</v>
      </c>
      <c r="G393" s="616">
        <f>D393*E393*F393</f>
        <v>2250000</v>
      </c>
      <c r="H393" s="610"/>
      <c r="I393" s="611"/>
      <c r="J393" s="611"/>
      <c r="K393" s="611"/>
      <c r="L393" s="611"/>
      <c r="M393" s="611"/>
    </row>
    <row r="394" spans="1:13" s="612" customFormat="1" ht="18.75" x14ac:dyDescent="0.25">
      <c r="A394" s="613"/>
      <c r="C394" s="615" t="s">
        <v>166</v>
      </c>
      <c r="D394" s="615">
        <v>100000</v>
      </c>
      <c r="E394" s="615">
        <f>E393</f>
        <v>5</v>
      </c>
      <c r="F394" s="615">
        <v>4</v>
      </c>
      <c r="G394" s="616">
        <f>D394*E394*F394</f>
        <v>2000000</v>
      </c>
      <c r="H394" s="610"/>
      <c r="I394" s="611"/>
      <c r="J394" s="611"/>
      <c r="K394" s="611"/>
      <c r="L394" s="611"/>
      <c r="M394" s="611"/>
    </row>
    <row r="395" spans="1:13" s="612" customFormat="1" ht="18.75" x14ac:dyDescent="0.25">
      <c r="A395" s="613"/>
      <c r="C395" s="615" t="s">
        <v>167</v>
      </c>
      <c r="D395" s="615">
        <v>150000</v>
      </c>
      <c r="E395" s="615">
        <v>1</v>
      </c>
      <c r="F395" s="615">
        <v>3</v>
      </c>
      <c r="G395" s="616">
        <f>D395*E395*F395</f>
        <v>450000</v>
      </c>
      <c r="H395" s="610"/>
      <c r="I395" s="611"/>
      <c r="J395" s="611"/>
      <c r="K395" s="611"/>
      <c r="L395" s="611"/>
      <c r="M395" s="611"/>
    </row>
    <row r="396" spans="1:13" s="612" customFormat="1" ht="18.75" x14ac:dyDescent="0.25">
      <c r="A396" s="613"/>
      <c r="C396" s="615" t="s">
        <v>205</v>
      </c>
      <c r="D396" s="615">
        <v>100000</v>
      </c>
      <c r="E396" s="615">
        <f>E395</f>
        <v>1</v>
      </c>
      <c r="F396" s="615">
        <v>4</v>
      </c>
      <c r="G396" s="616">
        <f>D396*E396*F396</f>
        <v>400000</v>
      </c>
      <c r="H396" s="610"/>
      <c r="I396" s="611"/>
      <c r="J396" s="611"/>
      <c r="K396" s="611"/>
      <c r="L396" s="611"/>
      <c r="M396" s="611"/>
    </row>
    <row r="397" spans="1:13" s="612" customFormat="1" ht="18.75" x14ac:dyDescent="0.25">
      <c r="A397" s="613"/>
      <c r="C397" s="615" t="s">
        <v>169</v>
      </c>
      <c r="D397" s="615">
        <v>150000</v>
      </c>
      <c r="E397" s="615">
        <v>6</v>
      </c>
      <c r="F397" s="615">
        <v>5</v>
      </c>
      <c r="G397" s="616">
        <f t="shared" si="20"/>
        <v>4500000</v>
      </c>
      <c r="H397" s="610"/>
      <c r="I397" s="611"/>
      <c r="J397" s="611"/>
      <c r="K397" s="611"/>
      <c r="L397" s="611"/>
      <c r="M397" s="611"/>
    </row>
    <row r="398" spans="1:13" s="612" customFormat="1" ht="18.75" x14ac:dyDescent="0.25">
      <c r="A398" s="613"/>
      <c r="C398" s="615" t="s">
        <v>170</v>
      </c>
      <c r="D398" s="615">
        <v>100000</v>
      </c>
      <c r="E398" s="615">
        <v>6</v>
      </c>
      <c r="F398" s="615">
        <v>6</v>
      </c>
      <c r="G398" s="616">
        <f t="shared" si="20"/>
        <v>3600000</v>
      </c>
      <c r="H398" s="610"/>
      <c r="I398" s="611"/>
      <c r="J398" s="611"/>
      <c r="K398" s="611"/>
      <c r="L398" s="611"/>
      <c r="M398" s="611"/>
    </row>
    <row r="399" spans="1:13" s="612" customFormat="1" ht="18.75" x14ac:dyDescent="0.25">
      <c r="A399" s="613"/>
      <c r="C399" s="615" t="s">
        <v>171</v>
      </c>
      <c r="D399" s="615">
        <f>D397</f>
        <v>150000</v>
      </c>
      <c r="E399" s="615">
        <f>3*1</f>
        <v>3</v>
      </c>
      <c r="F399" s="615">
        <v>5</v>
      </c>
      <c r="G399" s="616">
        <f t="shared" si="20"/>
        <v>2250000</v>
      </c>
      <c r="H399" s="610"/>
      <c r="I399" s="611"/>
      <c r="J399" s="611"/>
      <c r="K399" s="611"/>
      <c r="L399" s="611"/>
      <c r="M399" s="611"/>
    </row>
    <row r="400" spans="1:13" s="612" customFormat="1" ht="18.75" x14ac:dyDescent="0.25">
      <c r="A400" s="613"/>
      <c r="C400" s="615" t="s">
        <v>172</v>
      </c>
      <c r="D400" s="615">
        <v>100000</v>
      </c>
      <c r="E400" s="615">
        <f>E399</f>
        <v>3</v>
      </c>
      <c r="F400" s="615">
        <v>6</v>
      </c>
      <c r="G400" s="616">
        <f t="shared" si="20"/>
        <v>1800000</v>
      </c>
      <c r="H400" s="610"/>
      <c r="I400" s="611"/>
      <c r="J400" s="611"/>
      <c r="K400" s="611"/>
      <c r="L400" s="611"/>
      <c r="M400" s="611"/>
    </row>
    <row r="401" spans="1:13" s="612" customFormat="1" ht="18.75" x14ac:dyDescent="0.25">
      <c r="A401" s="613"/>
      <c r="C401" s="615" t="s">
        <v>173</v>
      </c>
      <c r="D401" s="615">
        <v>150000</v>
      </c>
      <c r="E401" s="615">
        <v>26</v>
      </c>
      <c r="F401" s="615">
        <v>4</v>
      </c>
      <c r="G401" s="616">
        <f>D401*E401*F401</f>
        <v>15600000</v>
      </c>
      <c r="H401" s="610"/>
      <c r="I401" s="611"/>
      <c r="J401" s="611"/>
      <c r="K401" s="611"/>
      <c r="L401" s="611"/>
      <c r="M401" s="611"/>
    </row>
    <row r="402" spans="1:13" s="612" customFormat="1" ht="18.75" x14ac:dyDescent="0.25">
      <c r="A402" s="613"/>
      <c r="C402" s="615" t="s">
        <v>174</v>
      </c>
      <c r="D402" s="615">
        <v>100000</v>
      </c>
      <c r="E402" s="615">
        <f>E401</f>
        <v>26</v>
      </c>
      <c r="F402" s="615">
        <v>5</v>
      </c>
      <c r="G402" s="616">
        <f t="shared" si="20"/>
        <v>13000000</v>
      </c>
      <c r="H402" s="610"/>
      <c r="I402" s="611"/>
      <c r="J402" s="611"/>
      <c r="K402" s="611"/>
      <c r="L402" s="611"/>
      <c r="M402" s="611"/>
    </row>
    <row r="403" spans="1:13" s="612" customFormat="1" ht="18.75" x14ac:dyDescent="0.25">
      <c r="A403" s="613"/>
      <c r="C403" s="615" t="s">
        <v>175</v>
      </c>
      <c r="D403" s="615">
        <v>150000</v>
      </c>
      <c r="E403" s="615">
        <f>13*1</f>
        <v>13</v>
      </c>
      <c r="F403" s="615">
        <v>4</v>
      </c>
      <c r="G403" s="616">
        <f t="shared" si="20"/>
        <v>7800000</v>
      </c>
      <c r="H403" s="610"/>
      <c r="I403" s="611"/>
      <c r="J403" s="611"/>
      <c r="K403" s="611"/>
      <c r="L403" s="611"/>
      <c r="M403" s="611"/>
    </row>
    <row r="404" spans="1:13" s="612" customFormat="1" ht="18.75" x14ac:dyDescent="0.25">
      <c r="A404" s="613"/>
      <c r="C404" s="615" t="s">
        <v>176</v>
      </c>
      <c r="D404" s="615">
        <v>100000</v>
      </c>
      <c r="E404" s="615">
        <f>E403</f>
        <v>13</v>
      </c>
      <c r="F404" s="615">
        <v>5</v>
      </c>
      <c r="G404" s="616">
        <f t="shared" si="20"/>
        <v>6500000</v>
      </c>
      <c r="H404" s="610"/>
      <c r="I404" s="611"/>
      <c r="J404" s="611"/>
      <c r="K404" s="611"/>
      <c r="L404" s="611"/>
      <c r="M404" s="611"/>
    </row>
    <row r="405" spans="1:13" s="621" customFormat="1" ht="18.75" x14ac:dyDescent="0.25">
      <c r="A405" s="613"/>
      <c r="B405" s="614"/>
      <c r="C405" s="615" t="s">
        <v>177</v>
      </c>
      <c r="D405" s="615">
        <v>7000</v>
      </c>
      <c r="E405" s="615">
        <f>137/6</f>
        <v>22.833333333333332</v>
      </c>
      <c r="F405" s="615">
        <v>2</v>
      </c>
      <c r="G405" s="616">
        <f t="shared" si="20"/>
        <v>319666.66666666663</v>
      </c>
      <c r="H405" s="619"/>
      <c r="I405" s="620"/>
      <c r="J405" s="620"/>
      <c r="K405" s="620"/>
      <c r="L405" s="620"/>
      <c r="M405" s="620"/>
    </row>
    <row r="406" spans="1:13" s="621" customFormat="1" ht="18.75" x14ac:dyDescent="0.25">
      <c r="A406" s="613"/>
      <c r="B406" s="614"/>
      <c r="C406" s="615" t="s">
        <v>178</v>
      </c>
      <c r="D406" s="615">
        <v>7000</v>
      </c>
      <c r="E406" s="615">
        <f>61/6</f>
        <v>10.166666666666666</v>
      </c>
      <c r="F406" s="615">
        <v>2</v>
      </c>
      <c r="G406" s="616">
        <f t="shared" si="20"/>
        <v>142333.33333333331</v>
      </c>
      <c r="H406" s="619"/>
      <c r="I406" s="620"/>
      <c r="J406" s="620"/>
      <c r="K406" s="620"/>
      <c r="L406" s="620"/>
      <c r="M406" s="620"/>
    </row>
    <row r="407" spans="1:13" s="612" customFormat="1" ht="18.75" x14ac:dyDescent="0.25">
      <c r="A407" s="613"/>
      <c r="B407" s="614"/>
      <c r="C407" s="615" t="s">
        <v>179</v>
      </c>
      <c r="D407" s="615">
        <v>7000</v>
      </c>
      <c r="E407" s="615">
        <f>757/6</f>
        <v>126.16666666666667</v>
      </c>
      <c r="F407" s="615">
        <v>2</v>
      </c>
      <c r="G407" s="616">
        <f t="shared" si="20"/>
        <v>1766333.3333333335</v>
      </c>
      <c r="H407" s="610"/>
      <c r="I407" s="611"/>
      <c r="J407" s="611"/>
      <c r="K407" s="611"/>
      <c r="L407" s="611"/>
      <c r="M407" s="611"/>
    </row>
    <row r="408" spans="1:13" s="612" customFormat="1" ht="18.75" x14ac:dyDescent="0.25">
      <c r="A408" s="613"/>
      <c r="B408" s="614"/>
      <c r="C408" s="615" t="s">
        <v>180</v>
      </c>
      <c r="D408" s="615">
        <v>7000</v>
      </c>
      <c r="E408" s="615">
        <f>680/6</f>
        <v>113.33333333333333</v>
      </c>
      <c r="F408" s="615">
        <v>2</v>
      </c>
      <c r="G408" s="616">
        <f t="shared" si="20"/>
        <v>1586666.6666666665</v>
      </c>
      <c r="H408" s="610"/>
      <c r="I408" s="611"/>
      <c r="J408" s="611"/>
      <c r="K408" s="611"/>
      <c r="L408" s="611"/>
      <c r="M408" s="611"/>
    </row>
    <row r="409" spans="1:13" s="612" customFormat="1" ht="18.75" x14ac:dyDescent="0.25">
      <c r="A409" s="613"/>
      <c r="B409" s="614"/>
      <c r="C409" s="615" t="s">
        <v>181</v>
      </c>
      <c r="D409" s="615">
        <v>7000</v>
      </c>
      <c r="E409" s="615">
        <f>568/6</f>
        <v>94.666666666666671</v>
      </c>
      <c r="F409" s="615">
        <v>2</v>
      </c>
      <c r="G409" s="616">
        <f t="shared" si="20"/>
        <v>1325333.3333333335</v>
      </c>
      <c r="H409" s="610"/>
      <c r="I409" s="611"/>
      <c r="J409" s="611"/>
      <c r="K409" s="611"/>
      <c r="L409" s="611"/>
      <c r="M409" s="611"/>
    </row>
    <row r="410" spans="1:13" s="612" customFormat="1" ht="18.75" x14ac:dyDescent="0.25">
      <c r="A410" s="613"/>
      <c r="B410" s="614"/>
      <c r="C410" s="615" t="s">
        <v>182</v>
      </c>
      <c r="D410" s="615">
        <v>7000</v>
      </c>
      <c r="E410" s="615">
        <f>768/6</f>
        <v>128</v>
      </c>
      <c r="F410" s="615">
        <v>2</v>
      </c>
      <c r="G410" s="616">
        <f t="shared" si="20"/>
        <v>1792000</v>
      </c>
      <c r="H410" s="610"/>
      <c r="I410" s="611"/>
      <c r="J410" s="611"/>
      <c r="K410" s="611"/>
      <c r="L410" s="611"/>
      <c r="M410" s="611"/>
    </row>
    <row r="411" spans="1:13" s="612" customFormat="1" ht="18.75" x14ac:dyDescent="0.25">
      <c r="A411" s="613"/>
      <c r="B411" s="614"/>
      <c r="C411" s="615" t="s">
        <v>183</v>
      </c>
      <c r="D411" s="615">
        <v>7000</v>
      </c>
      <c r="E411" s="615">
        <f>1024/7</f>
        <v>146.28571428571428</v>
      </c>
      <c r="F411" s="615">
        <v>2</v>
      </c>
      <c r="G411" s="616">
        <f t="shared" si="20"/>
        <v>2048000</v>
      </c>
      <c r="H411" s="610"/>
      <c r="I411" s="611"/>
      <c r="J411" s="611"/>
      <c r="K411" s="611"/>
      <c r="L411" s="611"/>
      <c r="M411" s="611"/>
    </row>
    <row r="412" spans="1:13" s="612" customFormat="1" ht="18.75" x14ac:dyDescent="0.25">
      <c r="A412" s="613"/>
      <c r="B412" s="614"/>
      <c r="C412" s="615" t="s">
        <v>184</v>
      </c>
      <c r="D412" s="615">
        <v>7000</v>
      </c>
      <c r="E412" s="615">
        <f>812/7</f>
        <v>116</v>
      </c>
      <c r="F412" s="615">
        <v>2</v>
      </c>
      <c r="G412" s="616">
        <f t="shared" si="20"/>
        <v>1624000</v>
      </c>
      <c r="H412" s="610"/>
      <c r="I412" s="611"/>
      <c r="J412" s="611"/>
      <c r="K412" s="611"/>
      <c r="L412" s="611"/>
      <c r="M412" s="611"/>
    </row>
    <row r="413" spans="1:13" s="612" customFormat="1" ht="18.75" x14ac:dyDescent="0.25">
      <c r="A413" s="613"/>
      <c r="B413" s="614"/>
      <c r="C413" s="615" t="s">
        <v>185</v>
      </c>
      <c r="D413" s="615">
        <v>7000</v>
      </c>
      <c r="E413" s="615">
        <f>817/7</f>
        <v>116.71428571428571</v>
      </c>
      <c r="F413" s="615">
        <v>2</v>
      </c>
      <c r="G413" s="616">
        <f t="shared" si="20"/>
        <v>1634000</v>
      </c>
      <c r="H413" s="610"/>
      <c r="I413" s="611"/>
      <c r="J413" s="611"/>
      <c r="K413" s="611"/>
      <c r="L413" s="611"/>
      <c r="M413" s="611"/>
    </row>
    <row r="414" spans="1:13" s="612" customFormat="1" ht="18.75" x14ac:dyDescent="0.25">
      <c r="A414" s="613"/>
      <c r="B414" s="614"/>
      <c r="C414" s="615" t="s">
        <v>186</v>
      </c>
      <c r="D414" s="615">
        <v>7000</v>
      </c>
      <c r="E414" s="615">
        <f>940/7</f>
        <v>134.28571428571428</v>
      </c>
      <c r="F414" s="615">
        <v>2</v>
      </c>
      <c r="G414" s="616">
        <f t="shared" si="20"/>
        <v>1880000</v>
      </c>
      <c r="H414" s="610"/>
      <c r="I414" s="611"/>
      <c r="J414" s="611"/>
      <c r="K414" s="611"/>
      <c r="L414" s="611"/>
      <c r="M414" s="611"/>
    </row>
    <row r="415" spans="1:13" s="612" customFormat="1" ht="18.75" x14ac:dyDescent="0.25">
      <c r="A415" s="613"/>
      <c r="B415" s="614"/>
      <c r="C415" s="615" t="s">
        <v>187</v>
      </c>
      <c r="D415" s="615">
        <v>7000</v>
      </c>
      <c r="E415" s="615">
        <f>444/6</f>
        <v>74</v>
      </c>
      <c r="F415" s="615">
        <v>2</v>
      </c>
      <c r="G415" s="616">
        <f t="shared" si="20"/>
        <v>1036000</v>
      </c>
      <c r="H415" s="610"/>
      <c r="I415" s="611"/>
      <c r="J415" s="611"/>
      <c r="K415" s="611"/>
      <c r="L415" s="611"/>
      <c r="M415" s="611"/>
    </row>
    <row r="416" spans="1:13" s="612" customFormat="1" ht="18.75" x14ac:dyDescent="0.25">
      <c r="A416" s="613"/>
      <c r="B416" s="614"/>
      <c r="C416" s="615" t="s">
        <v>188</v>
      </c>
      <c r="D416" s="615">
        <v>7000</v>
      </c>
      <c r="E416" s="615">
        <f>248/6</f>
        <v>41.333333333333336</v>
      </c>
      <c r="F416" s="615">
        <v>2</v>
      </c>
      <c r="G416" s="616">
        <f t="shared" si="20"/>
        <v>578666.66666666674</v>
      </c>
      <c r="H416" s="610"/>
      <c r="I416" s="611"/>
      <c r="J416" s="611"/>
      <c r="K416" s="611"/>
      <c r="L416" s="611"/>
      <c r="M416" s="611"/>
    </row>
    <row r="417" spans="1:13" s="612" customFormat="1" ht="18.75" x14ac:dyDescent="0.25">
      <c r="A417" s="613"/>
      <c r="B417" s="614"/>
      <c r="C417" s="615" t="s">
        <v>189</v>
      </c>
      <c r="D417" s="615">
        <v>7000</v>
      </c>
      <c r="E417" s="615">
        <f>310/6</f>
        <v>51.666666666666664</v>
      </c>
      <c r="F417" s="615">
        <v>2</v>
      </c>
      <c r="G417" s="616">
        <f t="shared" si="20"/>
        <v>723333.33333333326</v>
      </c>
      <c r="H417" s="610"/>
      <c r="I417" s="611"/>
      <c r="J417" s="611"/>
      <c r="K417" s="611"/>
      <c r="L417" s="611"/>
      <c r="M417" s="611"/>
    </row>
    <row r="418" spans="1:13" s="612" customFormat="1" ht="18.75" x14ac:dyDescent="0.25">
      <c r="A418" s="613"/>
      <c r="B418" s="614"/>
      <c r="C418" s="615" t="s">
        <v>190</v>
      </c>
      <c r="D418" s="615">
        <v>7000</v>
      </c>
      <c r="E418" s="615">
        <f>528/6</f>
        <v>88</v>
      </c>
      <c r="F418" s="615">
        <v>2</v>
      </c>
      <c r="G418" s="616">
        <f t="shared" si="20"/>
        <v>1232000</v>
      </c>
      <c r="H418" s="610"/>
      <c r="I418" s="611"/>
      <c r="J418" s="611"/>
      <c r="K418" s="611"/>
      <c r="L418" s="611"/>
      <c r="M418" s="611"/>
    </row>
    <row r="419" spans="1:13" s="612" customFormat="1" ht="18.75" x14ac:dyDescent="0.25">
      <c r="A419" s="613"/>
      <c r="B419" s="614"/>
      <c r="C419" s="615" t="s">
        <v>191</v>
      </c>
      <c r="D419" s="615">
        <v>7000</v>
      </c>
      <c r="E419" s="615">
        <f>342/6</f>
        <v>57</v>
      </c>
      <c r="F419" s="615">
        <v>2</v>
      </c>
      <c r="G419" s="616">
        <f t="shared" si="20"/>
        <v>798000</v>
      </c>
      <c r="H419" s="610"/>
      <c r="I419" s="611"/>
      <c r="J419" s="611"/>
      <c r="K419" s="611"/>
      <c r="L419" s="611"/>
      <c r="M419" s="611"/>
    </row>
    <row r="420" spans="1:13" s="612" customFormat="1" ht="18.75" x14ac:dyDescent="0.25">
      <c r="A420" s="613"/>
      <c r="B420" s="614"/>
      <c r="C420" s="615" t="s">
        <v>192</v>
      </c>
      <c r="D420" s="615">
        <v>7000</v>
      </c>
      <c r="E420" s="615">
        <f>283/7</f>
        <v>40.428571428571431</v>
      </c>
      <c r="F420" s="615">
        <v>2</v>
      </c>
      <c r="G420" s="616">
        <f t="shared" si="20"/>
        <v>566000</v>
      </c>
      <c r="H420" s="610"/>
      <c r="I420" s="611"/>
      <c r="J420" s="611"/>
      <c r="K420" s="611"/>
      <c r="L420" s="611"/>
      <c r="M420" s="611"/>
    </row>
    <row r="421" spans="1:13" s="612" customFormat="1" ht="18.75" x14ac:dyDescent="0.25">
      <c r="A421" s="613"/>
      <c r="B421" s="614"/>
      <c r="C421" s="615" t="s">
        <v>193</v>
      </c>
      <c r="D421" s="615">
        <v>7000</v>
      </c>
      <c r="E421" s="615">
        <f>474/7</f>
        <v>67.714285714285708</v>
      </c>
      <c r="F421" s="615">
        <v>2</v>
      </c>
      <c r="G421" s="616">
        <f t="shared" si="20"/>
        <v>947999.99999999988</v>
      </c>
      <c r="H421" s="610"/>
      <c r="I421" s="611"/>
      <c r="J421" s="611"/>
      <c r="K421" s="611"/>
      <c r="L421" s="611"/>
      <c r="M421" s="611"/>
    </row>
    <row r="422" spans="1:13" s="612" customFormat="1" ht="18.75" x14ac:dyDescent="0.25">
      <c r="A422" s="613"/>
      <c r="B422" s="614"/>
      <c r="C422" s="615" t="s">
        <v>194</v>
      </c>
      <c r="D422" s="615">
        <v>7000</v>
      </c>
      <c r="E422" s="615">
        <f>608/7</f>
        <v>86.857142857142861</v>
      </c>
      <c r="F422" s="615">
        <v>2</v>
      </c>
      <c r="G422" s="616">
        <f t="shared" si="20"/>
        <v>1216000</v>
      </c>
      <c r="H422" s="610"/>
      <c r="I422" s="611"/>
      <c r="J422" s="611"/>
      <c r="K422" s="611"/>
      <c r="L422" s="611"/>
      <c r="M422" s="611"/>
    </row>
    <row r="423" spans="1:13" s="621" customFormat="1" ht="18.75" x14ac:dyDescent="0.25">
      <c r="A423" s="613"/>
      <c r="B423" s="614"/>
      <c r="C423" s="615" t="s">
        <v>195</v>
      </c>
      <c r="D423" s="615">
        <v>7000</v>
      </c>
      <c r="E423" s="615">
        <f>137/6</f>
        <v>22.833333333333332</v>
      </c>
      <c r="F423" s="615">
        <v>4</v>
      </c>
      <c r="G423" s="616">
        <f t="shared" si="20"/>
        <v>639333.33333333326</v>
      </c>
      <c r="H423" s="619"/>
      <c r="I423" s="620"/>
      <c r="J423" s="620"/>
      <c r="K423" s="620"/>
      <c r="L423" s="620"/>
      <c r="M423" s="620"/>
    </row>
    <row r="424" spans="1:13" s="612" customFormat="1" ht="18.75" x14ac:dyDescent="0.25">
      <c r="A424" s="613"/>
      <c r="B424" s="614"/>
      <c r="C424" s="628" t="s">
        <v>206</v>
      </c>
      <c r="D424" s="615">
        <f>7000</f>
        <v>7000</v>
      </c>
      <c r="E424" s="615">
        <v>180</v>
      </c>
      <c r="F424" s="615">
        <v>2</v>
      </c>
      <c r="G424" s="629">
        <f>D424*E424*F424</f>
        <v>2520000</v>
      </c>
      <c r="H424" s="610"/>
      <c r="I424" s="611"/>
      <c r="J424" s="611"/>
      <c r="K424" s="611"/>
      <c r="L424" s="611"/>
      <c r="M424" s="611"/>
    </row>
    <row r="425" spans="1:13" s="612" customFormat="1" ht="18.75" x14ac:dyDescent="0.25">
      <c r="A425" s="613"/>
      <c r="B425" s="614"/>
      <c r="C425" s="628" t="s">
        <v>149</v>
      </c>
      <c r="D425" s="615">
        <f>7000</f>
        <v>7000</v>
      </c>
      <c r="E425" s="615">
        <v>20</v>
      </c>
      <c r="F425" s="615">
        <v>2</v>
      </c>
      <c r="G425" s="629">
        <f>D425*E425*F425</f>
        <v>280000</v>
      </c>
      <c r="H425" s="610"/>
      <c r="I425" s="611"/>
      <c r="J425" s="611"/>
      <c r="K425" s="611"/>
      <c r="L425" s="611"/>
      <c r="M425" s="611"/>
    </row>
    <row r="426" spans="1:13" s="612" customFormat="1" ht="18.75" x14ac:dyDescent="0.25">
      <c r="A426" s="613"/>
      <c r="B426" s="614"/>
      <c r="C426" s="628" t="s">
        <v>198</v>
      </c>
      <c r="D426" s="615">
        <v>1000000</v>
      </c>
      <c r="E426" s="615">
        <v>1</v>
      </c>
      <c r="F426" s="615">
        <v>3</v>
      </c>
      <c r="G426" s="629">
        <f t="shared" ref="G426" si="21">D426*E426*F426</f>
        <v>3000000</v>
      </c>
      <c r="H426" s="610"/>
      <c r="I426" s="611"/>
      <c r="J426" s="611"/>
      <c r="K426" s="611"/>
      <c r="L426" s="611"/>
      <c r="M426" s="611"/>
    </row>
    <row r="427" spans="1:13" s="612" customFormat="1" ht="18.75" x14ac:dyDescent="0.25">
      <c r="A427" s="613"/>
      <c r="B427" s="614"/>
      <c r="C427" s="618" t="s">
        <v>97</v>
      </c>
      <c r="D427" s="615">
        <v>20000</v>
      </c>
      <c r="E427" s="615">
        <v>45</v>
      </c>
      <c r="F427" s="615">
        <v>3</v>
      </c>
      <c r="G427" s="629">
        <f>D427*E427*F427</f>
        <v>2700000</v>
      </c>
      <c r="H427" s="610"/>
      <c r="I427" s="611"/>
      <c r="J427" s="611"/>
      <c r="K427" s="611"/>
      <c r="L427" s="611"/>
      <c r="M427" s="611"/>
    </row>
    <row r="428" spans="1:13" s="612" customFormat="1" ht="18.75" x14ac:dyDescent="0.25">
      <c r="A428" s="613"/>
      <c r="B428" s="614"/>
      <c r="C428" s="615" t="s">
        <v>60</v>
      </c>
      <c r="D428" s="615">
        <v>20000</v>
      </c>
      <c r="E428" s="615">
        <v>44</v>
      </c>
      <c r="F428" s="615">
        <v>1</v>
      </c>
      <c r="G428" s="629">
        <f>D428*E428*F428</f>
        <v>880000</v>
      </c>
      <c r="H428" s="610"/>
      <c r="I428" s="611"/>
      <c r="J428" s="611"/>
      <c r="K428" s="611"/>
      <c r="L428" s="611"/>
      <c r="M428" s="611"/>
    </row>
    <row r="429" spans="1:13" s="612" customFormat="1" ht="18.75" x14ac:dyDescent="0.25">
      <c r="A429" s="613"/>
      <c r="B429" s="614"/>
      <c r="C429" s="615" t="s">
        <v>138</v>
      </c>
      <c r="D429" s="615">
        <v>50000</v>
      </c>
      <c r="E429" s="615">
        <v>40</v>
      </c>
      <c r="F429" s="615">
        <v>1</v>
      </c>
      <c r="G429" s="629">
        <f t="shared" ref="G429:G430" si="22">D429*E429*F429</f>
        <v>2000000</v>
      </c>
      <c r="H429" s="610"/>
      <c r="I429" s="611"/>
      <c r="J429" s="611"/>
      <c r="K429" s="611"/>
      <c r="L429" s="611"/>
      <c r="M429" s="611"/>
    </row>
    <row r="430" spans="1:13" s="612" customFormat="1" ht="18.75" x14ac:dyDescent="0.25">
      <c r="A430" s="613"/>
      <c r="B430" s="614"/>
      <c r="C430" s="615" t="s">
        <v>200</v>
      </c>
      <c r="D430" s="615">
        <v>40000</v>
      </c>
      <c r="E430" s="615">
        <v>7</v>
      </c>
      <c r="F430" s="615">
        <v>3</v>
      </c>
      <c r="G430" s="629">
        <f t="shared" si="22"/>
        <v>840000</v>
      </c>
      <c r="H430" s="610"/>
      <c r="I430" s="611"/>
      <c r="J430" s="611"/>
      <c r="K430" s="611"/>
      <c r="L430" s="611"/>
      <c r="M430" s="611"/>
    </row>
    <row r="431" spans="1:13" s="612" customFormat="1" ht="19.5" thickBot="1" x14ac:dyDescent="0.3">
      <c r="A431" s="613"/>
      <c r="B431" s="622"/>
      <c r="C431" s="615"/>
      <c r="D431" s="615"/>
      <c r="E431" s="615"/>
      <c r="F431" s="615"/>
      <c r="G431" s="630"/>
      <c r="H431" s="610"/>
      <c r="I431" s="611"/>
      <c r="J431" s="611"/>
      <c r="K431" s="611"/>
      <c r="L431" s="611"/>
      <c r="M431" s="611"/>
    </row>
    <row r="432" spans="1:13" s="633" customFormat="1" ht="19.5" thickBot="1" x14ac:dyDescent="0.3">
      <c r="A432" s="613"/>
      <c r="B432" s="622"/>
      <c r="C432" s="623" t="s">
        <v>140</v>
      </c>
      <c r="D432" s="623"/>
      <c r="E432" s="623"/>
      <c r="F432" s="623"/>
      <c r="G432" s="631">
        <f>SUM(G384:G431)</f>
        <v>102115666.66666666</v>
      </c>
      <c r="H432" s="598">
        <f>G432/8136</f>
        <v>12551.089806620779</v>
      </c>
      <c r="I432" s="632"/>
      <c r="J432" s="632"/>
      <c r="K432" s="632"/>
      <c r="L432" s="632"/>
      <c r="M432" s="632"/>
    </row>
    <row r="433" spans="1:13" s="633" customFormat="1" ht="56.25" x14ac:dyDescent="0.25">
      <c r="A433" s="606">
        <v>3</v>
      </c>
      <c r="B433" s="634" t="s">
        <v>224</v>
      </c>
      <c r="C433" s="608" t="s">
        <v>39</v>
      </c>
      <c r="D433" s="608">
        <v>150000</v>
      </c>
      <c r="E433" s="608">
        <v>1</v>
      </c>
      <c r="F433" s="608">
        <v>1</v>
      </c>
      <c r="G433" s="609">
        <f t="shared" ref="G433" si="23">D433*E433*F433</f>
        <v>150000</v>
      </c>
      <c r="H433" s="610"/>
      <c r="I433" s="632"/>
      <c r="J433" s="632"/>
      <c r="K433" s="632"/>
      <c r="L433" s="632"/>
      <c r="M433" s="632"/>
    </row>
    <row r="434" spans="1:13" s="633" customFormat="1" ht="18.75" x14ac:dyDescent="0.25">
      <c r="A434" s="613"/>
      <c r="B434" s="627" t="s">
        <v>1278</v>
      </c>
      <c r="C434" s="615" t="s">
        <v>155</v>
      </c>
      <c r="D434" s="615">
        <v>280000</v>
      </c>
      <c r="E434" s="635">
        <v>1</v>
      </c>
      <c r="F434" s="615">
        <v>4</v>
      </c>
      <c r="G434" s="616">
        <f>D434*E434*F434</f>
        <v>1120000</v>
      </c>
      <c r="H434" s="610"/>
      <c r="I434" s="632"/>
      <c r="J434" s="632"/>
      <c r="K434" s="632"/>
      <c r="L434" s="632"/>
      <c r="M434" s="632"/>
    </row>
    <row r="435" spans="1:13" s="633" customFormat="1" ht="18.75" x14ac:dyDescent="0.25">
      <c r="A435" s="613"/>
      <c r="B435" s="627" t="s">
        <v>1279</v>
      </c>
      <c r="C435" s="615" t="s">
        <v>157</v>
      </c>
      <c r="D435" s="615">
        <v>100000</v>
      </c>
      <c r="E435" s="615">
        <v>1</v>
      </c>
      <c r="F435" s="615">
        <v>1</v>
      </c>
      <c r="G435" s="616">
        <f t="shared" ref="G435" si="24">D435*E435*F435</f>
        <v>100000</v>
      </c>
      <c r="H435" s="610"/>
      <c r="I435" s="632"/>
      <c r="J435" s="632"/>
      <c r="K435" s="632"/>
      <c r="L435" s="632"/>
      <c r="M435" s="632"/>
    </row>
    <row r="436" spans="1:13" s="633" customFormat="1" ht="18.75" x14ac:dyDescent="0.25">
      <c r="A436" s="613"/>
      <c r="B436" s="627" t="s">
        <v>227</v>
      </c>
      <c r="C436" s="615" t="s">
        <v>159</v>
      </c>
      <c r="D436" s="615">
        <v>250000</v>
      </c>
      <c r="E436" s="635">
        <v>1</v>
      </c>
      <c r="F436" s="615">
        <v>4</v>
      </c>
      <c r="G436" s="616">
        <f>D436*E436*F436</f>
        <v>1000000</v>
      </c>
      <c r="H436" s="610"/>
      <c r="I436" s="611"/>
      <c r="J436" s="632"/>
      <c r="K436" s="632"/>
      <c r="L436" s="632"/>
      <c r="M436" s="632"/>
    </row>
    <row r="437" spans="1:13" s="633" customFormat="1" ht="18.75" x14ac:dyDescent="0.25">
      <c r="A437" s="613"/>
      <c r="B437" s="617"/>
      <c r="C437" s="615" t="s">
        <v>160</v>
      </c>
      <c r="D437" s="615">
        <v>100000</v>
      </c>
      <c r="E437" s="615">
        <f>E436</f>
        <v>1</v>
      </c>
      <c r="F437" s="615">
        <v>1</v>
      </c>
      <c r="G437" s="616">
        <f t="shared" ref="G437:G440" si="25">D437*E437*F437</f>
        <v>100000</v>
      </c>
      <c r="H437" s="610"/>
      <c r="I437" s="611"/>
      <c r="J437" s="632"/>
      <c r="K437" s="632"/>
      <c r="L437" s="632"/>
      <c r="M437" s="632"/>
    </row>
    <row r="438" spans="1:13" s="633" customFormat="1" ht="56.25" x14ac:dyDescent="0.25">
      <c r="A438" s="613"/>
      <c r="B438" s="617"/>
      <c r="C438" s="618" t="s">
        <v>228</v>
      </c>
      <c r="D438" s="615">
        <v>250000</v>
      </c>
      <c r="E438" s="635">
        <v>6</v>
      </c>
      <c r="F438" s="615">
        <v>4</v>
      </c>
      <c r="G438" s="629">
        <f>D438*E438*F438</f>
        <v>6000000</v>
      </c>
      <c r="H438" s="610"/>
      <c r="I438" s="611"/>
      <c r="J438" s="632"/>
      <c r="K438" s="632"/>
      <c r="L438" s="632"/>
      <c r="M438" s="632"/>
    </row>
    <row r="439" spans="1:13" s="633" customFormat="1" ht="18.75" x14ac:dyDescent="0.25">
      <c r="A439" s="613"/>
      <c r="C439" s="615" t="s">
        <v>163</v>
      </c>
      <c r="D439" s="615">
        <v>250000</v>
      </c>
      <c r="E439" s="615">
        <v>2</v>
      </c>
      <c r="F439" s="615">
        <v>4</v>
      </c>
      <c r="G439" s="616">
        <f t="shared" si="25"/>
        <v>2000000</v>
      </c>
      <c r="H439" s="610"/>
      <c r="I439" s="611"/>
      <c r="J439" s="632"/>
      <c r="K439" s="632"/>
      <c r="L439" s="632"/>
      <c r="M439" s="632"/>
    </row>
    <row r="440" spans="1:13" s="633" customFormat="1" ht="18.75" x14ac:dyDescent="0.25">
      <c r="A440" s="613"/>
      <c r="C440" s="615" t="s">
        <v>164</v>
      </c>
      <c r="D440" s="615">
        <v>100000</v>
      </c>
      <c r="E440" s="615">
        <v>2</v>
      </c>
      <c r="F440" s="615">
        <v>1</v>
      </c>
      <c r="G440" s="616">
        <f t="shared" si="25"/>
        <v>200000</v>
      </c>
      <c r="H440" s="610"/>
      <c r="I440" s="611"/>
      <c r="J440" s="632"/>
      <c r="K440" s="632"/>
      <c r="L440" s="632"/>
      <c r="M440" s="632"/>
    </row>
    <row r="441" spans="1:13" s="633" customFormat="1" ht="18.75" x14ac:dyDescent="0.25">
      <c r="A441" s="613"/>
      <c r="C441" s="615"/>
      <c r="D441" s="615"/>
      <c r="E441" s="615"/>
      <c r="F441" s="615"/>
      <c r="G441" s="616"/>
      <c r="H441" s="610"/>
      <c r="I441" s="611"/>
      <c r="J441" s="632"/>
      <c r="K441" s="632"/>
      <c r="L441" s="632"/>
      <c r="M441" s="632"/>
    </row>
    <row r="442" spans="1:13" s="633" customFormat="1" ht="18.75" x14ac:dyDescent="0.25">
      <c r="A442" s="613"/>
      <c r="C442" s="615" t="s">
        <v>165</v>
      </c>
      <c r="D442" s="615">
        <v>250000</v>
      </c>
      <c r="E442" s="635">
        <v>3</v>
      </c>
      <c r="F442" s="615">
        <v>4</v>
      </c>
      <c r="G442" s="616">
        <f t="shared" ref="G442:G445" si="26">D442*E442*F442</f>
        <v>3000000</v>
      </c>
      <c r="H442" s="610"/>
      <c r="I442" s="611"/>
      <c r="J442" s="632"/>
      <c r="K442" s="632"/>
      <c r="L442" s="632"/>
      <c r="M442" s="632"/>
    </row>
    <row r="443" spans="1:13" s="633" customFormat="1" ht="18.75" x14ac:dyDescent="0.25">
      <c r="A443" s="613"/>
      <c r="C443" s="615" t="s">
        <v>166</v>
      </c>
      <c r="D443" s="615">
        <v>100000</v>
      </c>
      <c r="E443" s="615">
        <v>1</v>
      </c>
      <c r="F443" s="615">
        <v>1</v>
      </c>
      <c r="G443" s="616">
        <f t="shared" si="26"/>
        <v>100000</v>
      </c>
      <c r="H443" s="610"/>
      <c r="I443" s="611"/>
      <c r="J443" s="632"/>
      <c r="K443" s="632"/>
      <c r="L443" s="632"/>
      <c r="M443" s="632"/>
    </row>
    <row r="444" spans="1:13" s="633" customFormat="1" ht="18.75" x14ac:dyDescent="0.25">
      <c r="A444" s="613"/>
      <c r="C444" s="615" t="s">
        <v>167</v>
      </c>
      <c r="D444" s="615">
        <v>250000</v>
      </c>
      <c r="E444" s="615">
        <v>1</v>
      </c>
      <c r="F444" s="615">
        <v>4</v>
      </c>
      <c r="G444" s="616">
        <f t="shared" si="26"/>
        <v>1000000</v>
      </c>
      <c r="H444" s="636"/>
      <c r="I444" s="615"/>
      <c r="J444" s="632"/>
      <c r="K444" s="632"/>
      <c r="L444" s="632"/>
      <c r="M444" s="632"/>
    </row>
    <row r="445" spans="1:13" s="633" customFormat="1" ht="18.75" x14ac:dyDescent="0.25">
      <c r="A445" s="613"/>
      <c r="C445" s="615" t="s">
        <v>168</v>
      </c>
      <c r="D445" s="615">
        <v>100000</v>
      </c>
      <c r="E445" s="615">
        <f>E444</f>
        <v>1</v>
      </c>
      <c r="F445" s="615">
        <v>1</v>
      </c>
      <c r="G445" s="616">
        <f t="shared" si="26"/>
        <v>100000</v>
      </c>
      <c r="H445" s="610"/>
      <c r="I445" s="618"/>
      <c r="J445" s="632"/>
      <c r="K445" s="632"/>
      <c r="L445" s="632"/>
      <c r="M445" s="632"/>
    </row>
    <row r="446" spans="1:13" s="633" customFormat="1" ht="18.75" x14ac:dyDescent="0.25">
      <c r="A446" s="613"/>
      <c r="C446" s="615"/>
      <c r="D446" s="615"/>
      <c r="E446" s="615"/>
      <c r="F446" s="615"/>
      <c r="G446" s="637"/>
      <c r="H446" s="610"/>
      <c r="I446" s="611"/>
      <c r="J446" s="632"/>
      <c r="K446" s="632"/>
      <c r="L446" s="632"/>
      <c r="M446" s="632"/>
    </row>
    <row r="447" spans="1:13" s="633" customFormat="1" ht="18.75" x14ac:dyDescent="0.25">
      <c r="A447" s="613"/>
      <c r="C447" s="615" t="s">
        <v>169</v>
      </c>
      <c r="D447" s="615">
        <v>250000</v>
      </c>
      <c r="E447" s="615">
        <f>3*2</f>
        <v>6</v>
      </c>
      <c r="F447" s="615">
        <v>5</v>
      </c>
      <c r="G447" s="616">
        <f t="shared" ref="G447:G454" si="27">D447*E447*F447</f>
        <v>7500000</v>
      </c>
      <c r="H447" s="610"/>
      <c r="I447" s="611"/>
      <c r="J447" s="632"/>
      <c r="K447" s="632"/>
      <c r="L447" s="632"/>
      <c r="M447" s="632"/>
    </row>
    <row r="448" spans="1:13" s="633" customFormat="1" ht="18.75" x14ac:dyDescent="0.25">
      <c r="A448" s="613"/>
      <c r="C448" s="615" t="s">
        <v>170</v>
      </c>
      <c r="D448" s="615">
        <v>100000</v>
      </c>
      <c r="E448" s="615">
        <f>E447</f>
        <v>6</v>
      </c>
      <c r="F448" s="615">
        <v>1</v>
      </c>
      <c r="G448" s="616">
        <f t="shared" si="27"/>
        <v>600000</v>
      </c>
      <c r="H448" s="610"/>
      <c r="I448" s="615"/>
      <c r="J448" s="632"/>
      <c r="K448" s="632"/>
      <c r="L448" s="632"/>
      <c r="M448" s="632"/>
    </row>
    <row r="449" spans="1:13" s="633" customFormat="1" ht="18.75" x14ac:dyDescent="0.25">
      <c r="A449" s="613"/>
      <c r="C449" s="615" t="s">
        <v>171</v>
      </c>
      <c r="D449" s="615">
        <v>250000</v>
      </c>
      <c r="E449" s="615">
        <f>3*1</f>
        <v>3</v>
      </c>
      <c r="F449" s="615">
        <v>5</v>
      </c>
      <c r="G449" s="616">
        <f t="shared" si="27"/>
        <v>3750000</v>
      </c>
      <c r="H449" s="610"/>
      <c r="I449" s="611"/>
      <c r="J449" s="632"/>
      <c r="K449" s="632"/>
      <c r="L449" s="632"/>
      <c r="M449" s="632"/>
    </row>
    <row r="450" spans="1:13" s="633" customFormat="1" ht="18.75" x14ac:dyDescent="0.25">
      <c r="A450" s="613"/>
      <c r="C450" s="615" t="s">
        <v>172</v>
      </c>
      <c r="D450" s="615">
        <v>100000</v>
      </c>
      <c r="E450" s="615">
        <f>E449</f>
        <v>3</v>
      </c>
      <c r="F450" s="615">
        <v>1</v>
      </c>
      <c r="G450" s="616">
        <f t="shared" si="27"/>
        <v>300000</v>
      </c>
      <c r="H450" s="610"/>
      <c r="I450" s="611"/>
      <c r="J450" s="632"/>
      <c r="K450" s="632"/>
      <c r="L450" s="632"/>
      <c r="M450" s="632"/>
    </row>
    <row r="451" spans="1:13" s="633" customFormat="1" ht="56.25" x14ac:dyDescent="0.25">
      <c r="A451" s="613"/>
      <c r="C451" s="618" t="s">
        <v>173</v>
      </c>
      <c r="D451" s="615">
        <v>250000</v>
      </c>
      <c r="E451" s="635">
        <f>13*2</f>
        <v>26</v>
      </c>
      <c r="F451" s="615">
        <v>4</v>
      </c>
      <c r="G451" s="616">
        <f t="shared" si="27"/>
        <v>26000000</v>
      </c>
      <c r="H451" s="610"/>
      <c r="I451" s="632"/>
      <c r="J451" s="632"/>
      <c r="K451" s="632"/>
      <c r="L451" s="632"/>
      <c r="M451" s="632"/>
    </row>
    <row r="452" spans="1:13" s="633" customFormat="1" ht="18.75" x14ac:dyDescent="0.25">
      <c r="A452" s="613"/>
      <c r="C452" s="615" t="s">
        <v>174</v>
      </c>
      <c r="D452" s="615">
        <v>100000</v>
      </c>
      <c r="E452" s="615">
        <f>E451</f>
        <v>26</v>
      </c>
      <c r="F452" s="615">
        <v>1</v>
      </c>
      <c r="G452" s="616">
        <f t="shared" si="27"/>
        <v>2600000</v>
      </c>
      <c r="H452" s="610"/>
      <c r="I452" s="632"/>
      <c r="J452" s="632"/>
      <c r="K452" s="632"/>
      <c r="L452" s="632"/>
      <c r="M452" s="632"/>
    </row>
    <row r="453" spans="1:13" s="633" customFormat="1" ht="18.75" x14ac:dyDescent="0.25">
      <c r="A453" s="613"/>
      <c r="C453" s="615" t="s">
        <v>175</v>
      </c>
      <c r="D453" s="615">
        <v>250000</v>
      </c>
      <c r="E453" s="615">
        <f>13*1</f>
        <v>13</v>
      </c>
      <c r="F453" s="615">
        <v>4</v>
      </c>
      <c r="G453" s="616">
        <f t="shared" si="27"/>
        <v>13000000</v>
      </c>
      <c r="H453" s="610"/>
      <c r="I453" s="632"/>
      <c r="J453" s="632"/>
      <c r="K453" s="632"/>
      <c r="L453" s="632"/>
      <c r="M453" s="632"/>
    </row>
    <row r="454" spans="1:13" s="633" customFormat="1" ht="18.75" x14ac:dyDescent="0.25">
      <c r="A454" s="613"/>
      <c r="C454" s="615" t="s">
        <v>176</v>
      </c>
      <c r="D454" s="615">
        <v>100000</v>
      </c>
      <c r="E454" s="615">
        <f>E453</f>
        <v>13</v>
      </c>
      <c r="F454" s="615">
        <v>1</v>
      </c>
      <c r="G454" s="616">
        <f t="shared" si="27"/>
        <v>1300000</v>
      </c>
      <c r="H454" s="610"/>
      <c r="I454" s="632"/>
      <c r="J454" s="632"/>
      <c r="K454" s="632"/>
      <c r="L454" s="632"/>
      <c r="M454" s="632"/>
    </row>
    <row r="455" spans="1:13" s="633" customFormat="1" ht="18.75" x14ac:dyDescent="0.25">
      <c r="A455" s="613"/>
      <c r="C455" s="615"/>
      <c r="D455" s="615"/>
      <c r="E455" s="615"/>
      <c r="F455" s="615"/>
      <c r="G455" s="637"/>
      <c r="H455" s="610"/>
      <c r="I455" s="632"/>
      <c r="J455" s="632"/>
      <c r="K455" s="632"/>
      <c r="L455" s="632"/>
      <c r="M455" s="632"/>
    </row>
    <row r="456" spans="1:13" s="621" customFormat="1" ht="18.75" x14ac:dyDescent="0.25">
      <c r="A456" s="613"/>
      <c r="B456" s="614"/>
      <c r="C456" s="615" t="s">
        <v>1280</v>
      </c>
      <c r="D456" s="615">
        <f>7000</f>
        <v>7000</v>
      </c>
      <c r="E456" s="615">
        <v>23</v>
      </c>
      <c r="F456" s="615">
        <v>2</v>
      </c>
      <c r="G456" s="616">
        <v>319667</v>
      </c>
      <c r="H456" s="619"/>
      <c r="I456" s="620"/>
      <c r="J456" s="620"/>
      <c r="K456" s="620"/>
      <c r="L456" s="620"/>
      <c r="M456" s="620"/>
    </row>
    <row r="457" spans="1:13" s="621" customFormat="1" ht="18.75" x14ac:dyDescent="0.25">
      <c r="A457" s="613"/>
      <c r="B457" s="614"/>
      <c r="C457" s="615" t="s">
        <v>1281</v>
      </c>
      <c r="D457" s="615">
        <f>7000</f>
        <v>7000</v>
      </c>
      <c r="E457" s="615">
        <v>10</v>
      </c>
      <c r="F457" s="615">
        <v>2</v>
      </c>
      <c r="G457" s="616">
        <v>142333</v>
      </c>
      <c r="H457" s="619"/>
      <c r="I457" s="620"/>
      <c r="J457" s="620"/>
      <c r="K457" s="620"/>
      <c r="L457" s="620"/>
      <c r="M457" s="620"/>
    </row>
    <row r="458" spans="1:13" s="612" customFormat="1" ht="18.75" x14ac:dyDescent="0.25">
      <c r="A458" s="613"/>
      <c r="B458" s="614"/>
      <c r="C458" s="615" t="s">
        <v>179</v>
      </c>
      <c r="D458" s="615">
        <v>7000</v>
      </c>
      <c r="E458" s="615">
        <v>126</v>
      </c>
      <c r="F458" s="615">
        <v>2</v>
      </c>
      <c r="G458" s="616">
        <v>1766333</v>
      </c>
      <c r="H458" s="610"/>
      <c r="I458" s="611"/>
      <c r="J458" s="611"/>
      <c r="K458" s="611"/>
      <c r="L458" s="611"/>
      <c r="M458" s="611"/>
    </row>
    <row r="459" spans="1:13" s="612" customFormat="1" ht="18.75" x14ac:dyDescent="0.25">
      <c r="A459" s="613"/>
      <c r="B459" s="614"/>
      <c r="C459" s="615" t="s">
        <v>1282</v>
      </c>
      <c r="D459" s="615">
        <v>7000</v>
      </c>
      <c r="E459" s="615">
        <v>113</v>
      </c>
      <c r="F459" s="615">
        <v>2</v>
      </c>
      <c r="G459" s="616">
        <v>1586667</v>
      </c>
      <c r="H459" s="610"/>
      <c r="I459" s="611"/>
      <c r="J459" s="611"/>
      <c r="K459" s="611"/>
      <c r="L459" s="611"/>
      <c r="M459" s="611"/>
    </row>
    <row r="460" spans="1:13" s="612" customFormat="1" ht="18.75" x14ac:dyDescent="0.25">
      <c r="A460" s="613"/>
      <c r="B460" s="614"/>
      <c r="C460" s="615" t="s">
        <v>355</v>
      </c>
      <c r="D460" s="615">
        <v>7000</v>
      </c>
      <c r="E460" s="615">
        <v>95</v>
      </c>
      <c r="F460" s="615">
        <v>2</v>
      </c>
      <c r="G460" s="616">
        <v>1325333</v>
      </c>
      <c r="H460" s="610"/>
      <c r="I460" s="611"/>
      <c r="J460" s="611"/>
      <c r="K460" s="611"/>
      <c r="L460" s="611"/>
      <c r="M460" s="611"/>
    </row>
    <row r="461" spans="1:13" s="612" customFormat="1" ht="18.75" x14ac:dyDescent="0.25">
      <c r="A461" s="613"/>
      <c r="B461" s="614"/>
      <c r="C461" s="615" t="s">
        <v>356</v>
      </c>
      <c r="D461" s="615">
        <v>7000</v>
      </c>
      <c r="E461" s="615">
        <v>128</v>
      </c>
      <c r="F461" s="615">
        <v>2</v>
      </c>
      <c r="G461" s="616">
        <f>D461*E461*F461</f>
        <v>1792000</v>
      </c>
      <c r="H461" s="610"/>
      <c r="I461" s="611"/>
      <c r="J461" s="611"/>
      <c r="K461" s="611"/>
      <c r="L461" s="611"/>
      <c r="M461" s="611"/>
    </row>
    <row r="462" spans="1:13" s="633" customFormat="1" ht="18.75" x14ac:dyDescent="0.25">
      <c r="A462" s="613"/>
      <c r="B462" s="614"/>
      <c r="C462" s="615" t="s">
        <v>357</v>
      </c>
      <c r="D462" s="615">
        <v>7000</v>
      </c>
      <c r="E462" s="615">
        <v>146</v>
      </c>
      <c r="F462" s="615">
        <v>2</v>
      </c>
      <c r="G462" s="616">
        <v>2048000</v>
      </c>
      <c r="H462" s="610"/>
      <c r="I462" s="632"/>
      <c r="J462" s="632"/>
      <c r="K462" s="632"/>
      <c r="L462" s="632"/>
      <c r="M462" s="632"/>
    </row>
    <row r="463" spans="1:13" s="633" customFormat="1" ht="18.75" x14ac:dyDescent="0.25">
      <c r="A463" s="613"/>
      <c r="B463" s="614"/>
      <c r="C463" s="615" t="s">
        <v>358</v>
      </c>
      <c r="D463" s="615">
        <v>7000</v>
      </c>
      <c r="E463" s="615">
        <v>116</v>
      </c>
      <c r="F463" s="615">
        <v>2</v>
      </c>
      <c r="G463" s="616">
        <f>D463*E463*F463</f>
        <v>1624000</v>
      </c>
      <c r="H463" s="610"/>
      <c r="I463" s="632"/>
      <c r="J463" s="632"/>
      <c r="K463" s="632"/>
      <c r="L463" s="632"/>
      <c r="M463" s="632"/>
    </row>
    <row r="464" spans="1:13" s="633" customFormat="1" ht="18.75" x14ac:dyDescent="0.25">
      <c r="A464" s="613"/>
      <c r="B464" s="614"/>
      <c r="C464" s="615" t="s">
        <v>185</v>
      </c>
      <c r="D464" s="615">
        <v>7000</v>
      </c>
      <c r="E464" s="615">
        <v>117</v>
      </c>
      <c r="F464" s="615">
        <v>2</v>
      </c>
      <c r="G464" s="616">
        <v>1634000</v>
      </c>
      <c r="H464" s="610"/>
      <c r="I464" s="632"/>
      <c r="J464" s="632"/>
      <c r="K464" s="632"/>
      <c r="L464" s="632"/>
      <c r="M464" s="632"/>
    </row>
    <row r="465" spans="1:13" s="633" customFormat="1" ht="18.75" x14ac:dyDescent="0.25">
      <c r="A465" s="613"/>
      <c r="B465" s="614"/>
      <c r="C465" s="615" t="s">
        <v>359</v>
      </c>
      <c r="D465" s="615">
        <v>7000</v>
      </c>
      <c r="E465" s="615">
        <v>88</v>
      </c>
      <c r="F465" s="615">
        <v>2</v>
      </c>
      <c r="G465" s="616">
        <f>D465*E465*F465</f>
        <v>1232000</v>
      </c>
      <c r="H465" s="610"/>
      <c r="I465" s="632"/>
      <c r="J465" s="632"/>
      <c r="K465" s="632"/>
      <c r="L465" s="632"/>
      <c r="M465" s="632"/>
    </row>
    <row r="466" spans="1:13" s="633" customFormat="1" ht="18.75" x14ac:dyDescent="0.25">
      <c r="A466" s="613"/>
      <c r="B466" s="614"/>
      <c r="C466" s="615" t="s">
        <v>360</v>
      </c>
      <c r="D466" s="615">
        <v>7000</v>
      </c>
      <c r="E466" s="615">
        <v>72</v>
      </c>
      <c r="F466" s="615">
        <v>2</v>
      </c>
      <c r="G466" s="616">
        <v>1036000</v>
      </c>
      <c r="H466" s="610"/>
      <c r="I466" s="632"/>
      <c r="J466" s="632"/>
      <c r="K466" s="632"/>
      <c r="L466" s="632"/>
      <c r="M466" s="632"/>
    </row>
    <row r="467" spans="1:13" s="612" customFormat="1" ht="18.75" x14ac:dyDescent="0.25">
      <c r="A467" s="613"/>
      <c r="B467" s="614"/>
      <c r="C467" s="615" t="s">
        <v>361</v>
      </c>
      <c r="D467" s="615">
        <v>7000</v>
      </c>
      <c r="E467" s="615">
        <v>41</v>
      </c>
      <c r="F467" s="615">
        <v>2</v>
      </c>
      <c r="G467" s="616">
        <v>578667</v>
      </c>
      <c r="H467" s="610"/>
      <c r="I467" s="611"/>
      <c r="J467" s="611"/>
      <c r="K467" s="611"/>
      <c r="L467" s="611"/>
      <c r="M467" s="611"/>
    </row>
    <row r="468" spans="1:13" s="612" customFormat="1" ht="18.75" x14ac:dyDescent="0.25">
      <c r="A468" s="613"/>
      <c r="B468" s="614"/>
      <c r="C468" s="615" t="s">
        <v>362</v>
      </c>
      <c r="D468" s="615">
        <v>7000</v>
      </c>
      <c r="E468" s="615">
        <v>52</v>
      </c>
      <c r="F468" s="615">
        <v>2</v>
      </c>
      <c r="G468" s="616">
        <v>723333</v>
      </c>
      <c r="H468" s="610"/>
      <c r="I468" s="611"/>
      <c r="J468" s="611"/>
      <c r="K468" s="611"/>
      <c r="L468" s="611"/>
      <c r="M468" s="611"/>
    </row>
    <row r="469" spans="1:13" s="612" customFormat="1" ht="18.75" x14ac:dyDescent="0.25">
      <c r="A469" s="613"/>
      <c r="B469" s="614"/>
      <c r="C469" s="615" t="s">
        <v>363</v>
      </c>
      <c r="D469" s="615">
        <v>7000</v>
      </c>
      <c r="E469" s="615">
        <v>134</v>
      </c>
      <c r="F469" s="615">
        <v>2</v>
      </c>
      <c r="G469" s="616">
        <v>1880000</v>
      </c>
      <c r="H469" s="610"/>
      <c r="I469" s="611"/>
      <c r="J469" s="611"/>
      <c r="K469" s="611"/>
      <c r="L469" s="611"/>
      <c r="M469" s="611"/>
    </row>
    <row r="470" spans="1:13" s="612" customFormat="1" ht="18.75" x14ac:dyDescent="0.25">
      <c r="A470" s="613"/>
      <c r="B470" s="614"/>
      <c r="C470" s="615" t="s">
        <v>364</v>
      </c>
      <c r="D470" s="615">
        <v>7000</v>
      </c>
      <c r="E470" s="615">
        <v>57</v>
      </c>
      <c r="F470" s="615">
        <v>2</v>
      </c>
      <c r="G470" s="616">
        <f>D470*E470*F470</f>
        <v>798000</v>
      </c>
      <c r="H470" s="610"/>
      <c r="I470" s="611"/>
      <c r="J470" s="611"/>
      <c r="K470" s="611"/>
      <c r="L470" s="611"/>
      <c r="M470" s="611"/>
    </row>
    <row r="471" spans="1:13" s="612" customFormat="1" ht="18.75" x14ac:dyDescent="0.25">
      <c r="A471" s="613"/>
      <c r="B471" s="614"/>
      <c r="C471" s="615" t="s">
        <v>365</v>
      </c>
      <c r="D471" s="615">
        <v>7000</v>
      </c>
      <c r="E471" s="615">
        <v>40</v>
      </c>
      <c r="F471" s="615">
        <v>2</v>
      </c>
      <c r="G471" s="616">
        <v>566000</v>
      </c>
      <c r="H471" s="610"/>
      <c r="I471" s="611"/>
      <c r="J471" s="611"/>
      <c r="K471" s="611"/>
      <c r="L471" s="611"/>
      <c r="M471" s="611"/>
    </row>
    <row r="472" spans="1:13" s="633" customFormat="1" ht="18.75" x14ac:dyDescent="0.25">
      <c r="A472" s="613"/>
      <c r="B472" s="614"/>
      <c r="C472" s="615" t="s">
        <v>366</v>
      </c>
      <c r="D472" s="615">
        <v>7000</v>
      </c>
      <c r="E472" s="615">
        <v>68</v>
      </c>
      <c r="F472" s="615">
        <v>2</v>
      </c>
      <c r="G472" s="616">
        <v>948000</v>
      </c>
      <c r="H472" s="610"/>
      <c r="I472" s="632"/>
      <c r="J472" s="632"/>
      <c r="K472" s="632"/>
      <c r="L472" s="632"/>
      <c r="M472" s="632"/>
    </row>
    <row r="473" spans="1:13" s="633" customFormat="1" ht="18.75" x14ac:dyDescent="0.25">
      <c r="A473" s="613"/>
      <c r="B473" s="614"/>
      <c r="C473" s="615" t="s">
        <v>367</v>
      </c>
      <c r="D473" s="615">
        <v>7000</v>
      </c>
      <c r="E473" s="615">
        <v>87</v>
      </c>
      <c r="F473" s="615">
        <v>2</v>
      </c>
      <c r="G473" s="616">
        <v>1216000</v>
      </c>
      <c r="H473" s="610"/>
      <c r="I473" s="632"/>
      <c r="J473" s="632"/>
      <c r="K473" s="632"/>
      <c r="L473" s="632"/>
      <c r="M473" s="632"/>
    </row>
    <row r="474" spans="1:13" s="612" customFormat="1" ht="18.75" x14ac:dyDescent="0.25">
      <c r="A474" s="613"/>
      <c r="B474" s="614"/>
      <c r="C474" s="615" t="s">
        <v>368</v>
      </c>
      <c r="D474" s="615">
        <v>7000</v>
      </c>
      <c r="E474" s="615">
        <v>23</v>
      </c>
      <c r="F474" s="615">
        <v>4</v>
      </c>
      <c r="G474" s="616">
        <v>639333</v>
      </c>
      <c r="H474" s="610"/>
      <c r="I474" s="611"/>
      <c r="J474" s="611"/>
      <c r="K474" s="611"/>
      <c r="L474" s="611"/>
      <c r="M474" s="611"/>
    </row>
    <row r="475" spans="1:13" s="612" customFormat="1" ht="18.75" x14ac:dyDescent="0.25">
      <c r="A475" s="613"/>
      <c r="B475" s="614"/>
      <c r="C475" s="615"/>
      <c r="D475" s="615"/>
      <c r="E475" s="615"/>
      <c r="F475" s="615"/>
      <c r="G475" s="637"/>
      <c r="H475" s="610"/>
      <c r="I475" s="611"/>
      <c r="J475" s="611"/>
      <c r="K475" s="611"/>
      <c r="L475" s="611"/>
      <c r="M475" s="611"/>
    </row>
    <row r="476" spans="1:13" s="612" customFormat="1" ht="18.75" x14ac:dyDescent="0.25">
      <c r="A476" s="613"/>
      <c r="B476" s="614"/>
      <c r="C476" s="615" t="s">
        <v>230</v>
      </c>
      <c r="D476" s="615">
        <f>7000</f>
        <v>7000</v>
      </c>
      <c r="E476" s="615">
        <v>20</v>
      </c>
      <c r="F476" s="615">
        <v>3</v>
      </c>
      <c r="G476" s="629">
        <f t="shared" ref="G476:G477" si="28">D476*E476*F476</f>
        <v>420000</v>
      </c>
      <c r="H476" s="610"/>
      <c r="I476" s="611"/>
      <c r="J476" s="611"/>
      <c r="K476" s="611"/>
      <c r="L476" s="611"/>
      <c r="M476" s="611"/>
    </row>
    <row r="477" spans="1:13" s="612" customFormat="1" ht="18.75" x14ac:dyDescent="0.25">
      <c r="A477" s="613"/>
      <c r="B477" s="614"/>
      <c r="C477" s="615" t="s">
        <v>230</v>
      </c>
      <c r="D477" s="615">
        <f>7000</f>
        <v>7000</v>
      </c>
      <c r="E477" s="615">
        <v>200</v>
      </c>
      <c r="F477" s="615">
        <v>2</v>
      </c>
      <c r="G477" s="629">
        <f t="shared" si="28"/>
        <v>2800000</v>
      </c>
      <c r="H477" s="610"/>
      <c r="I477" s="611"/>
      <c r="J477" s="611"/>
      <c r="K477" s="611"/>
      <c r="L477" s="611"/>
      <c r="M477" s="611"/>
    </row>
    <row r="478" spans="1:13" s="612" customFormat="1" ht="18.75" x14ac:dyDescent="0.25">
      <c r="A478" s="613"/>
      <c r="B478" s="614"/>
      <c r="C478" s="615"/>
      <c r="D478" s="615"/>
      <c r="E478" s="615"/>
      <c r="F478" s="615"/>
      <c r="G478" s="636"/>
      <c r="H478" s="610"/>
      <c r="I478" s="611"/>
      <c r="J478" s="611"/>
      <c r="K478" s="611"/>
      <c r="L478" s="611"/>
      <c r="M478" s="611"/>
    </row>
    <row r="479" spans="1:13" s="612" customFormat="1" ht="18.75" x14ac:dyDescent="0.25">
      <c r="A479" s="613"/>
      <c r="B479" s="614"/>
      <c r="C479" s="618" t="s">
        <v>97</v>
      </c>
      <c r="D479" s="615">
        <v>20000</v>
      </c>
      <c r="E479" s="615">
        <v>40</v>
      </c>
      <c r="F479" s="615">
        <v>3</v>
      </c>
      <c r="G479" s="629">
        <f>D479*E479*F479</f>
        <v>2400000</v>
      </c>
      <c r="H479" s="610"/>
      <c r="I479" s="611"/>
      <c r="J479" s="611"/>
      <c r="K479" s="611"/>
      <c r="L479" s="611"/>
      <c r="M479" s="611"/>
    </row>
    <row r="480" spans="1:13" s="612" customFormat="1" ht="18.75" x14ac:dyDescent="0.25">
      <c r="A480" s="613"/>
      <c r="B480" s="614"/>
      <c r="C480" s="615" t="s">
        <v>60</v>
      </c>
      <c r="D480" s="615">
        <v>20000</v>
      </c>
      <c r="E480" s="615">
        <v>40</v>
      </c>
      <c r="F480" s="615">
        <v>3</v>
      </c>
      <c r="G480" s="629">
        <f t="shared" ref="G480:G482" si="29">D480*E480*F480</f>
        <v>2400000</v>
      </c>
      <c r="H480" s="610"/>
      <c r="I480" s="611"/>
      <c r="J480" s="611"/>
      <c r="K480" s="611"/>
      <c r="L480" s="611"/>
      <c r="M480" s="611"/>
    </row>
    <row r="481" spans="1:13" s="612" customFormat="1" ht="18.75" x14ac:dyDescent="0.25">
      <c r="A481" s="613"/>
      <c r="B481" s="614"/>
      <c r="C481" s="615" t="s">
        <v>138</v>
      </c>
      <c r="D481" s="615">
        <v>50000</v>
      </c>
      <c r="E481" s="615">
        <v>30</v>
      </c>
      <c r="F481" s="615">
        <v>1</v>
      </c>
      <c r="G481" s="629">
        <f t="shared" si="29"/>
        <v>1500000</v>
      </c>
      <c r="H481" s="610"/>
      <c r="I481" s="611"/>
      <c r="J481" s="611"/>
      <c r="K481" s="611"/>
      <c r="L481" s="611"/>
      <c r="M481" s="611"/>
    </row>
    <row r="482" spans="1:13" s="612" customFormat="1" ht="18.75" x14ac:dyDescent="0.25">
      <c r="A482" s="613"/>
      <c r="B482" s="614"/>
      <c r="C482" s="615" t="s">
        <v>147</v>
      </c>
      <c r="D482" s="615">
        <v>40000</v>
      </c>
      <c r="E482" s="615">
        <v>7</v>
      </c>
      <c r="F482" s="615">
        <v>3</v>
      </c>
      <c r="G482" s="629">
        <f t="shared" si="29"/>
        <v>840000</v>
      </c>
      <c r="H482" s="610"/>
      <c r="I482" s="611"/>
      <c r="J482" s="611"/>
      <c r="K482" s="611"/>
      <c r="L482" s="611"/>
      <c r="M482" s="611"/>
    </row>
    <row r="483" spans="1:13" s="633" customFormat="1" ht="19.5" thickBot="1" x14ac:dyDescent="0.3">
      <c r="A483" s="613"/>
      <c r="B483" s="622"/>
      <c r="C483" s="615"/>
      <c r="D483" s="615"/>
      <c r="E483" s="615"/>
      <c r="F483" s="615"/>
      <c r="G483" s="616"/>
      <c r="H483" s="610"/>
      <c r="I483" s="632"/>
      <c r="J483" s="632"/>
      <c r="K483" s="632"/>
      <c r="L483" s="632"/>
      <c r="M483" s="632"/>
    </row>
    <row r="484" spans="1:13" s="633" customFormat="1" ht="19.5" thickBot="1" x14ac:dyDescent="0.3">
      <c r="A484" s="613"/>
      <c r="B484" s="622"/>
      <c r="C484" s="623" t="s">
        <v>140</v>
      </c>
      <c r="D484" s="623"/>
      <c r="E484" s="623"/>
      <c r="F484" s="623"/>
      <c r="G484" s="631">
        <f>SUM(G433:G483)</f>
        <v>102135666</v>
      </c>
      <c r="H484" s="598">
        <f>G484/8136</f>
        <v>12553.547935103245</v>
      </c>
      <c r="I484" s="632"/>
      <c r="J484" s="632"/>
      <c r="K484" s="632"/>
      <c r="L484" s="632"/>
      <c r="M484" s="632"/>
    </row>
    <row r="485" spans="1:13" s="633" customFormat="1" ht="37.5" x14ac:dyDescent="0.25">
      <c r="A485" s="606">
        <v>4.0999999999999996</v>
      </c>
      <c r="B485" s="634" t="s">
        <v>1283</v>
      </c>
      <c r="C485" s="638" t="s">
        <v>39</v>
      </c>
      <c r="D485" s="638">
        <v>150000</v>
      </c>
      <c r="E485" s="638">
        <v>1</v>
      </c>
      <c r="F485" s="638">
        <v>1</v>
      </c>
      <c r="G485" s="609">
        <f t="shared" ref="G485" si="30">D485*E485*F485</f>
        <v>150000</v>
      </c>
      <c r="H485" s="610"/>
      <c r="I485" s="632"/>
      <c r="J485" s="632"/>
      <c r="K485" s="632"/>
      <c r="L485" s="632"/>
      <c r="M485" s="632"/>
    </row>
    <row r="486" spans="1:13" s="633" customFormat="1" ht="18.75" x14ac:dyDescent="0.25">
      <c r="A486" s="613"/>
      <c r="B486" s="627" t="s">
        <v>150</v>
      </c>
      <c r="C486" s="639" t="s">
        <v>234</v>
      </c>
      <c r="D486" s="639">
        <v>40000</v>
      </c>
      <c r="E486" s="639">
        <v>7</v>
      </c>
      <c r="F486" s="639">
        <v>2</v>
      </c>
      <c r="G486" s="616">
        <f>D486*E486*F486</f>
        <v>560000</v>
      </c>
      <c r="H486" s="610"/>
      <c r="I486" s="632"/>
      <c r="J486" s="632"/>
      <c r="K486" s="632"/>
      <c r="L486" s="632"/>
      <c r="M486" s="632"/>
    </row>
    <row r="487" spans="1:13" s="612" customFormat="1" ht="18.75" x14ac:dyDescent="0.25">
      <c r="A487" s="613"/>
      <c r="C487" s="639" t="s">
        <v>230</v>
      </c>
      <c r="D487" s="639">
        <f>7000</f>
        <v>7000</v>
      </c>
      <c r="E487" s="639">
        <v>10</v>
      </c>
      <c r="F487" s="639">
        <v>3</v>
      </c>
      <c r="G487" s="629">
        <f>D487*E487*F487</f>
        <v>210000</v>
      </c>
      <c r="H487" s="610"/>
      <c r="I487" s="611"/>
      <c r="J487" s="611"/>
      <c r="K487" s="611"/>
      <c r="L487" s="611"/>
      <c r="M487" s="611"/>
    </row>
    <row r="488" spans="1:13" s="612" customFormat="1" ht="18.75" x14ac:dyDescent="0.25">
      <c r="A488" s="613"/>
      <c r="B488" s="614"/>
      <c r="C488" s="640" t="s">
        <v>97</v>
      </c>
      <c r="D488" s="639">
        <v>20000</v>
      </c>
      <c r="E488" s="639">
        <v>26</v>
      </c>
      <c r="F488" s="639">
        <v>2</v>
      </c>
      <c r="G488" s="629">
        <f>D488*E488*F488</f>
        <v>1040000</v>
      </c>
      <c r="H488" s="610"/>
      <c r="I488" s="611"/>
      <c r="J488" s="611"/>
      <c r="K488" s="611"/>
      <c r="L488" s="611"/>
      <c r="M488" s="611"/>
    </row>
    <row r="489" spans="1:13" s="612" customFormat="1" ht="18.75" x14ac:dyDescent="0.25">
      <c r="A489" s="613"/>
      <c r="B489" s="614"/>
      <c r="C489" s="639" t="s">
        <v>60</v>
      </c>
      <c r="D489" s="639">
        <v>20000</v>
      </c>
      <c r="E489" s="639">
        <v>26</v>
      </c>
      <c r="F489" s="639">
        <v>2</v>
      </c>
      <c r="G489" s="629">
        <f t="shared" ref="G489:G490" si="31">D489*E489*F489</f>
        <v>1040000</v>
      </c>
      <c r="H489" s="610"/>
      <c r="I489" s="611"/>
      <c r="J489" s="611"/>
      <c r="K489" s="611"/>
      <c r="L489" s="611"/>
      <c r="M489" s="611"/>
    </row>
    <row r="490" spans="1:13" s="612" customFormat="1" ht="18.75" x14ac:dyDescent="0.25">
      <c r="A490" s="613"/>
      <c r="B490" s="614"/>
      <c r="C490" s="639" t="s">
        <v>59</v>
      </c>
      <c r="D490" s="639">
        <v>50000</v>
      </c>
      <c r="E490" s="639">
        <v>10</v>
      </c>
      <c r="F490" s="639">
        <v>1</v>
      </c>
      <c r="G490" s="629">
        <f t="shared" si="31"/>
        <v>500000</v>
      </c>
      <c r="H490" s="610"/>
      <c r="I490" s="611"/>
      <c r="J490" s="611"/>
      <c r="K490" s="611"/>
      <c r="L490" s="611"/>
      <c r="M490" s="611"/>
    </row>
    <row r="491" spans="1:13" s="633" customFormat="1" ht="19.5" thickBot="1" x14ac:dyDescent="0.3">
      <c r="A491" s="613"/>
      <c r="B491" s="622"/>
      <c r="C491" s="639"/>
      <c r="D491" s="639"/>
      <c r="E491" s="639"/>
      <c r="F491" s="639"/>
      <c r="G491" s="616"/>
      <c r="H491" s="610"/>
      <c r="I491" s="632"/>
      <c r="J491" s="632"/>
      <c r="K491" s="632"/>
      <c r="L491" s="632"/>
      <c r="M491" s="632"/>
    </row>
    <row r="492" spans="1:13" s="633" customFormat="1" ht="19.5" thickBot="1" x14ac:dyDescent="0.3">
      <c r="A492" s="613"/>
      <c r="B492" s="622"/>
      <c r="C492" s="641" t="s">
        <v>140</v>
      </c>
      <c r="D492" s="641"/>
      <c r="E492" s="641"/>
      <c r="F492" s="641"/>
      <c r="G492" s="631">
        <f>SUM(G485:G491)</f>
        <v>3500000</v>
      </c>
      <c r="H492" s="642">
        <f>G492/8136</f>
        <v>430.18682399213372</v>
      </c>
      <c r="I492" s="632"/>
      <c r="J492" s="632"/>
      <c r="K492" s="632"/>
      <c r="L492" s="632"/>
      <c r="M492" s="632"/>
    </row>
    <row r="493" spans="1:13" s="633" customFormat="1" ht="19.5" thickBot="1" x14ac:dyDescent="0.3">
      <c r="A493" s="613"/>
      <c r="B493" s="622"/>
      <c r="C493" s="639"/>
      <c r="D493" s="639"/>
      <c r="E493" s="639"/>
      <c r="F493" s="639"/>
      <c r="G493" s="616"/>
      <c r="H493" s="610"/>
      <c r="I493" s="632"/>
      <c r="J493" s="632"/>
      <c r="K493" s="632"/>
      <c r="L493" s="632"/>
      <c r="M493" s="632"/>
    </row>
    <row r="494" spans="1:13" s="633" customFormat="1" ht="56.25" x14ac:dyDescent="0.25">
      <c r="A494" s="606">
        <v>4.2</v>
      </c>
      <c r="B494" s="634" t="s">
        <v>1284</v>
      </c>
      <c r="C494" s="638" t="s">
        <v>39</v>
      </c>
      <c r="D494" s="638">
        <v>150000</v>
      </c>
      <c r="E494" s="638">
        <v>1</v>
      </c>
      <c r="F494" s="638">
        <v>1</v>
      </c>
      <c r="G494" s="609">
        <f t="shared" ref="G494" si="32">D494*E494*F494</f>
        <v>150000</v>
      </c>
      <c r="H494" s="610"/>
      <c r="I494" s="632"/>
      <c r="J494" s="632"/>
      <c r="K494" s="632"/>
      <c r="L494" s="632"/>
      <c r="M494" s="632"/>
    </row>
    <row r="495" spans="1:13" s="633" customFormat="1" ht="18.75" x14ac:dyDescent="0.25">
      <c r="A495" s="613"/>
      <c r="B495" s="627" t="s">
        <v>150</v>
      </c>
      <c r="C495" s="639" t="s">
        <v>234</v>
      </c>
      <c r="D495" s="639">
        <v>40000</v>
      </c>
      <c r="E495" s="639">
        <v>7</v>
      </c>
      <c r="F495" s="639">
        <v>2</v>
      </c>
      <c r="G495" s="616">
        <f>D495*E495*F495</f>
        <v>560000</v>
      </c>
      <c r="H495" s="610"/>
      <c r="I495" s="632"/>
      <c r="J495" s="632"/>
      <c r="K495" s="632"/>
      <c r="L495" s="632"/>
      <c r="M495" s="632"/>
    </row>
    <row r="496" spans="1:13" s="612" customFormat="1" ht="18.75" x14ac:dyDescent="0.25">
      <c r="A496" s="613"/>
      <c r="C496" s="639" t="s">
        <v>230</v>
      </c>
      <c r="D496" s="639">
        <f>7000</f>
        <v>7000</v>
      </c>
      <c r="E496" s="639">
        <v>10</v>
      </c>
      <c r="F496" s="639">
        <v>3</v>
      </c>
      <c r="G496" s="629">
        <f t="shared" ref="G496" si="33">D496*E496*F496</f>
        <v>210000</v>
      </c>
      <c r="H496" s="610"/>
      <c r="I496" s="611"/>
      <c r="J496" s="611"/>
      <c r="K496" s="611"/>
      <c r="L496" s="611"/>
      <c r="M496" s="611"/>
    </row>
    <row r="497" spans="1:13" s="612" customFormat="1" ht="18.75" x14ac:dyDescent="0.25">
      <c r="A497" s="613"/>
      <c r="B497" s="614"/>
      <c r="C497" s="640" t="s">
        <v>97</v>
      </c>
      <c r="D497" s="639">
        <v>20000</v>
      </c>
      <c r="E497" s="639">
        <v>25</v>
      </c>
      <c r="F497" s="639">
        <v>2</v>
      </c>
      <c r="G497" s="629">
        <f>D497*E497*F497</f>
        <v>1000000</v>
      </c>
      <c r="H497" s="610"/>
      <c r="I497" s="611"/>
      <c r="J497" s="611"/>
      <c r="K497" s="611"/>
      <c r="L497" s="611"/>
      <c r="M497" s="611"/>
    </row>
    <row r="498" spans="1:13" s="612" customFormat="1" ht="18.75" x14ac:dyDescent="0.25">
      <c r="A498" s="613"/>
      <c r="B498" s="614"/>
      <c r="C498" s="639" t="s">
        <v>60</v>
      </c>
      <c r="D498" s="639">
        <v>20000</v>
      </c>
      <c r="E498" s="639">
        <v>25</v>
      </c>
      <c r="F498" s="639">
        <v>2</v>
      </c>
      <c r="G498" s="629">
        <f t="shared" ref="G498:G499" si="34">D498*E498*F498</f>
        <v>1000000</v>
      </c>
      <c r="H498" s="610"/>
      <c r="I498" s="611"/>
      <c r="J498" s="611"/>
      <c r="K498" s="611"/>
      <c r="L498" s="611"/>
      <c r="M498" s="611"/>
    </row>
    <row r="499" spans="1:13" s="612" customFormat="1" ht="18.75" x14ac:dyDescent="0.25">
      <c r="A499" s="613"/>
      <c r="B499" s="614"/>
      <c r="C499" s="639" t="s">
        <v>59</v>
      </c>
      <c r="D499" s="639">
        <v>50000</v>
      </c>
      <c r="E499" s="639">
        <v>10</v>
      </c>
      <c r="F499" s="639">
        <v>1</v>
      </c>
      <c r="G499" s="629">
        <f t="shared" si="34"/>
        <v>500000</v>
      </c>
      <c r="H499" s="610"/>
      <c r="I499" s="611"/>
      <c r="J499" s="611"/>
      <c r="K499" s="611"/>
      <c r="L499" s="611"/>
      <c r="M499" s="611"/>
    </row>
    <row r="500" spans="1:13" s="633" customFormat="1" ht="19.5" thickBot="1" x14ac:dyDescent="0.3">
      <c r="A500" s="613"/>
      <c r="B500" s="622"/>
      <c r="C500" s="639"/>
      <c r="D500" s="639"/>
      <c r="E500" s="639"/>
      <c r="F500" s="639"/>
      <c r="G500" s="616"/>
      <c r="H500" s="610"/>
      <c r="I500" s="632"/>
      <c r="J500" s="632"/>
      <c r="K500" s="632"/>
      <c r="L500" s="632"/>
      <c r="M500" s="632"/>
    </row>
    <row r="501" spans="1:13" s="633" customFormat="1" ht="19.5" thickBot="1" x14ac:dyDescent="0.3">
      <c r="A501" s="613"/>
      <c r="B501" s="622"/>
      <c r="C501" s="641" t="s">
        <v>140</v>
      </c>
      <c r="D501" s="641"/>
      <c r="E501" s="641"/>
      <c r="F501" s="641"/>
      <c r="G501" s="631">
        <v>3428000</v>
      </c>
      <c r="H501" s="642">
        <f>G501/8136</f>
        <v>421.33726647000981</v>
      </c>
      <c r="I501" s="632"/>
      <c r="J501" s="632"/>
      <c r="K501" s="632"/>
      <c r="L501" s="632"/>
      <c r="M501" s="632"/>
    </row>
    <row r="502" spans="1:13" s="633" customFormat="1" ht="19.5" thickBot="1" x14ac:dyDescent="0.3">
      <c r="A502" s="613"/>
      <c r="B502" s="622"/>
      <c r="C502" s="639"/>
      <c r="D502" s="639"/>
      <c r="E502" s="639"/>
      <c r="F502" s="639"/>
      <c r="G502" s="616"/>
      <c r="H502" s="610"/>
      <c r="I502" s="632"/>
      <c r="J502" s="632"/>
      <c r="K502" s="632"/>
      <c r="L502" s="632"/>
      <c r="M502" s="632"/>
    </row>
    <row r="503" spans="1:13" s="633" customFormat="1" ht="37.5" x14ac:dyDescent="0.25">
      <c r="A503" s="606">
        <v>5</v>
      </c>
      <c r="B503" s="634" t="s">
        <v>1285</v>
      </c>
      <c r="C503" s="608" t="s">
        <v>39</v>
      </c>
      <c r="D503" s="608">
        <v>150000</v>
      </c>
      <c r="E503" s="608">
        <v>1</v>
      </c>
      <c r="F503" s="608">
        <v>1</v>
      </c>
      <c r="G503" s="609">
        <f t="shared" ref="G503" si="35">D503*E503*F503</f>
        <v>150000</v>
      </c>
      <c r="H503" s="610"/>
      <c r="I503" s="632"/>
      <c r="J503" s="632"/>
      <c r="K503" s="632"/>
      <c r="L503" s="632"/>
      <c r="M503" s="632"/>
    </row>
    <row r="504" spans="1:13" s="633" customFormat="1" ht="18.75" x14ac:dyDescent="0.25">
      <c r="A504" s="613"/>
      <c r="B504" s="627" t="s">
        <v>150</v>
      </c>
      <c r="C504" s="615" t="s">
        <v>234</v>
      </c>
      <c r="D504" s="615">
        <v>40000</v>
      </c>
      <c r="E504" s="615">
        <v>7</v>
      </c>
      <c r="F504" s="615">
        <v>2</v>
      </c>
      <c r="G504" s="616">
        <f>D504*E504*F504</f>
        <v>560000</v>
      </c>
      <c r="H504" s="610"/>
      <c r="I504" s="632"/>
      <c r="J504" s="632"/>
      <c r="K504" s="632"/>
      <c r="L504" s="632"/>
      <c r="M504" s="632"/>
    </row>
    <row r="505" spans="1:13" s="612" customFormat="1" ht="18.75" x14ac:dyDescent="0.25">
      <c r="A505" s="613"/>
      <c r="C505" s="615" t="s">
        <v>230</v>
      </c>
      <c r="D505" s="615">
        <f>7000</f>
        <v>7000</v>
      </c>
      <c r="E505" s="615">
        <v>10</v>
      </c>
      <c r="F505" s="615">
        <v>40</v>
      </c>
      <c r="G505" s="629">
        <f t="shared" ref="G505" si="36">D505*E505*F505</f>
        <v>2800000</v>
      </c>
      <c r="H505" s="610"/>
      <c r="I505" s="611"/>
      <c r="J505" s="611"/>
      <c r="K505" s="611"/>
      <c r="L505" s="611"/>
      <c r="M505" s="611"/>
    </row>
    <row r="506" spans="1:13" s="612" customFormat="1" ht="18.75" x14ac:dyDescent="0.25">
      <c r="A506" s="613"/>
      <c r="B506" s="614"/>
      <c r="C506" s="618" t="s">
        <v>97</v>
      </c>
      <c r="D506" s="615">
        <v>20000</v>
      </c>
      <c r="E506" s="615">
        <v>20</v>
      </c>
      <c r="F506" s="615">
        <v>2</v>
      </c>
      <c r="G506" s="629">
        <f>D506*E506*F506</f>
        <v>800000</v>
      </c>
      <c r="H506" s="610"/>
      <c r="I506" s="611"/>
      <c r="J506" s="611"/>
      <c r="K506" s="611"/>
      <c r="L506" s="611"/>
      <c r="M506" s="611"/>
    </row>
    <row r="507" spans="1:13" s="612" customFormat="1" ht="18.75" x14ac:dyDescent="0.25">
      <c r="A507" s="613"/>
      <c r="B507" s="614"/>
      <c r="C507" s="615" t="s">
        <v>60</v>
      </c>
      <c r="D507" s="615">
        <v>20000</v>
      </c>
      <c r="E507" s="615">
        <v>20</v>
      </c>
      <c r="F507" s="615">
        <v>2</v>
      </c>
      <c r="G507" s="629">
        <f t="shared" ref="G507:G508" si="37">D507*E507*F507</f>
        <v>800000</v>
      </c>
      <c r="H507" s="610"/>
      <c r="I507" s="611"/>
      <c r="J507" s="611"/>
      <c r="K507" s="611"/>
      <c r="L507" s="611"/>
      <c r="M507" s="611"/>
    </row>
    <row r="508" spans="1:13" s="612" customFormat="1" ht="18.75" x14ac:dyDescent="0.25">
      <c r="A508" s="613"/>
      <c r="B508" s="614"/>
      <c r="C508" s="615" t="s">
        <v>59</v>
      </c>
      <c r="D508" s="615">
        <v>50000</v>
      </c>
      <c r="E508" s="615">
        <v>10</v>
      </c>
      <c r="F508" s="615">
        <v>1</v>
      </c>
      <c r="G508" s="629">
        <f t="shared" si="37"/>
        <v>500000</v>
      </c>
      <c r="H508" s="610"/>
      <c r="I508" s="611"/>
      <c r="J508" s="611"/>
      <c r="K508" s="611"/>
      <c r="L508" s="611"/>
      <c r="M508" s="611"/>
    </row>
    <row r="509" spans="1:13" s="633" customFormat="1" ht="19.5" thickBot="1" x14ac:dyDescent="0.3">
      <c r="A509" s="613"/>
      <c r="B509" s="622"/>
      <c r="C509" s="615"/>
      <c r="D509" s="615"/>
      <c r="E509" s="615"/>
      <c r="F509" s="615"/>
      <c r="G509" s="616"/>
      <c r="H509" s="610"/>
      <c r="I509" s="632"/>
      <c r="J509" s="632"/>
      <c r="K509" s="632"/>
      <c r="L509" s="632"/>
      <c r="M509" s="632"/>
    </row>
    <row r="510" spans="1:13" s="633" customFormat="1" ht="19.5" thickBot="1" x14ac:dyDescent="0.3">
      <c r="A510" s="613"/>
      <c r="B510" s="622"/>
      <c r="C510" s="623" t="s">
        <v>140</v>
      </c>
      <c r="D510" s="623"/>
      <c r="E510" s="623"/>
      <c r="F510" s="623"/>
      <c r="G510" s="631">
        <f>SUM(G503:G509)</f>
        <v>5610000</v>
      </c>
      <c r="H510" s="598">
        <f>G510/8136</f>
        <v>689.52802359882003</v>
      </c>
      <c r="I510" s="632"/>
      <c r="J510" s="632"/>
      <c r="K510" s="632"/>
      <c r="L510" s="632"/>
      <c r="M510" s="632"/>
    </row>
    <row r="511" spans="1:13" s="633" customFormat="1" ht="19.5" thickBot="1" x14ac:dyDescent="0.3">
      <c r="A511" s="613"/>
      <c r="B511" s="622"/>
      <c r="C511" s="615"/>
      <c r="D511" s="615"/>
      <c r="E511" s="615"/>
      <c r="F511" s="615"/>
      <c r="G511" s="616"/>
      <c r="H511" s="610"/>
      <c r="I511" s="632"/>
      <c r="J511" s="632"/>
      <c r="K511" s="632"/>
      <c r="L511" s="632"/>
      <c r="M511" s="632"/>
    </row>
    <row r="512" spans="1:13" s="633" customFormat="1" ht="19.5" thickBot="1" x14ac:dyDescent="0.3">
      <c r="A512" s="613"/>
      <c r="B512" s="622"/>
      <c r="C512" s="623" t="s">
        <v>589</v>
      </c>
      <c r="D512" s="623"/>
      <c r="E512" s="623"/>
      <c r="F512" s="623"/>
      <c r="G512" s="643">
        <v>0</v>
      </c>
      <c r="H512" s="610"/>
      <c r="I512" s="632"/>
      <c r="J512" s="632"/>
      <c r="K512" s="632"/>
      <c r="L512" s="632"/>
      <c r="M512" s="632"/>
    </row>
    <row r="513" spans="1:13" s="633" customFormat="1" ht="19.5" thickBot="1" x14ac:dyDescent="0.3">
      <c r="A513" s="644"/>
      <c r="B513" s="645"/>
      <c r="C513" s="645"/>
      <c r="D513" s="646"/>
      <c r="E513" s="646"/>
      <c r="F513" s="647"/>
      <c r="G513" s="648"/>
      <c r="H513" s="610"/>
      <c r="I513" s="632"/>
      <c r="J513" s="632"/>
      <c r="K513" s="632"/>
      <c r="L513" s="632"/>
      <c r="M513" s="632"/>
    </row>
    <row r="514" spans="1:13" s="633" customFormat="1" ht="37.5" x14ac:dyDescent="0.25">
      <c r="A514" s="606">
        <v>6</v>
      </c>
      <c r="B514" s="634" t="s">
        <v>1286</v>
      </c>
      <c r="C514" s="649" t="s">
        <v>39</v>
      </c>
      <c r="D514" s="608"/>
      <c r="E514" s="608"/>
      <c r="F514" s="608"/>
      <c r="G514" s="609">
        <f t="shared" ref="G514" si="38">D514*E514*F514</f>
        <v>0</v>
      </c>
      <c r="H514" s="610"/>
      <c r="I514" s="632"/>
      <c r="J514" s="632"/>
      <c r="K514" s="632"/>
      <c r="L514" s="632"/>
      <c r="M514" s="632"/>
    </row>
    <row r="515" spans="1:13" s="633" customFormat="1" ht="37.5" x14ac:dyDescent="0.25">
      <c r="A515" s="613"/>
      <c r="B515" s="614" t="s">
        <v>1287</v>
      </c>
      <c r="C515" s="618" t="s">
        <v>244</v>
      </c>
      <c r="D515" s="615">
        <v>250000</v>
      </c>
      <c r="E515" s="615">
        <v>4</v>
      </c>
      <c r="F515" s="615">
        <v>11</v>
      </c>
      <c r="G515" s="616">
        <v>4550000</v>
      </c>
      <c r="H515" s="610"/>
      <c r="I515" s="632"/>
      <c r="J515" s="632"/>
      <c r="K515" s="632"/>
      <c r="L515" s="632"/>
      <c r="M515" s="632"/>
    </row>
    <row r="516" spans="1:13" s="633" customFormat="1" ht="37.5" x14ac:dyDescent="0.25">
      <c r="A516" s="613"/>
      <c r="B516" s="614" t="s">
        <v>1288</v>
      </c>
      <c r="C516" s="618" t="s">
        <v>246</v>
      </c>
      <c r="D516" s="615">
        <v>100000</v>
      </c>
      <c r="E516" s="615">
        <v>1</v>
      </c>
      <c r="F516" s="615">
        <v>1</v>
      </c>
      <c r="G516" s="616">
        <f t="shared" ref="G516:G518" si="39">D516*E516*F516</f>
        <v>100000</v>
      </c>
      <c r="H516" s="610"/>
      <c r="I516" s="632"/>
      <c r="J516" s="632"/>
      <c r="K516" s="632"/>
      <c r="L516" s="650"/>
      <c r="M516" s="632" t="s">
        <v>240</v>
      </c>
    </row>
    <row r="517" spans="1:13" s="633" customFormat="1" ht="18.75" x14ac:dyDescent="0.25">
      <c r="A517" s="613"/>
      <c r="B517" s="614">
        <v>40</v>
      </c>
      <c r="C517" s="615" t="s">
        <v>163</v>
      </c>
      <c r="D517" s="615">
        <v>250000</v>
      </c>
      <c r="E517" s="615">
        <v>1</v>
      </c>
      <c r="F517" s="615">
        <v>11</v>
      </c>
      <c r="G517" s="616">
        <f t="shared" si="39"/>
        <v>2750000</v>
      </c>
      <c r="H517" s="610"/>
      <c r="I517" s="632"/>
      <c r="J517" s="632"/>
      <c r="K517" s="632"/>
      <c r="L517" s="632"/>
      <c r="M517" s="632"/>
    </row>
    <row r="518" spans="1:13" s="633" customFormat="1" ht="18.75" x14ac:dyDescent="0.25">
      <c r="A518" s="613"/>
      <c r="C518" s="615" t="s">
        <v>164</v>
      </c>
      <c r="D518" s="615">
        <v>100000</v>
      </c>
      <c r="E518" s="615">
        <v>1</v>
      </c>
      <c r="F518" s="615">
        <v>1</v>
      </c>
      <c r="G518" s="616">
        <f t="shared" si="39"/>
        <v>100000</v>
      </c>
      <c r="H518" s="610"/>
      <c r="I518" s="632"/>
      <c r="J518" s="632"/>
      <c r="K518" s="632"/>
      <c r="L518" s="632"/>
      <c r="M518" s="632"/>
    </row>
    <row r="519" spans="1:13" s="633" customFormat="1" ht="18.75" x14ac:dyDescent="0.25">
      <c r="A519" s="613"/>
      <c r="C519" s="615"/>
      <c r="D519" s="615"/>
      <c r="E519" s="615"/>
      <c r="F519" s="615"/>
      <c r="G519" s="616"/>
      <c r="H519" s="610"/>
      <c r="I519" s="632"/>
      <c r="J519" s="632"/>
      <c r="K519" s="632"/>
      <c r="L519" s="632"/>
      <c r="M519" s="632"/>
    </row>
    <row r="520" spans="1:13" s="633" customFormat="1" ht="18.75" x14ac:dyDescent="0.25">
      <c r="A520" s="613"/>
      <c r="C520" s="615" t="s">
        <v>247</v>
      </c>
      <c r="D520" s="615">
        <v>100000</v>
      </c>
      <c r="E520" s="615">
        <f>3*1</f>
        <v>3</v>
      </c>
      <c r="F520" s="615">
        <v>3</v>
      </c>
      <c r="G520" s="616">
        <f t="shared" ref="G520:G521" si="40">D520*E520*F520</f>
        <v>900000</v>
      </c>
      <c r="H520" s="610"/>
      <c r="I520" s="632"/>
      <c r="J520" s="632"/>
      <c r="K520" s="632"/>
      <c r="L520" s="632"/>
      <c r="M520" s="632"/>
    </row>
    <row r="521" spans="1:13" s="633" customFormat="1" ht="18.75" x14ac:dyDescent="0.25">
      <c r="A521" s="613"/>
      <c r="C521" s="615" t="s">
        <v>248</v>
      </c>
      <c r="D521" s="615">
        <v>100000</v>
      </c>
      <c r="E521" s="615">
        <v>3</v>
      </c>
      <c r="F521" s="615">
        <v>3</v>
      </c>
      <c r="G521" s="616">
        <f t="shared" si="40"/>
        <v>900000</v>
      </c>
      <c r="H521" s="610"/>
      <c r="I521" s="632"/>
      <c r="J521" s="632"/>
      <c r="K521" s="632"/>
      <c r="L521" s="632"/>
      <c r="M521" s="632"/>
    </row>
    <row r="522" spans="1:13" s="633" customFormat="1" ht="18.75" x14ac:dyDescent="0.25">
      <c r="A522" s="613"/>
      <c r="C522" s="615"/>
      <c r="D522" s="615"/>
      <c r="E522" s="615"/>
      <c r="F522" s="615"/>
      <c r="G522" s="637"/>
      <c r="H522" s="610"/>
      <c r="I522" s="632"/>
      <c r="J522" s="632"/>
      <c r="K522" s="651"/>
      <c r="L522" s="632"/>
      <c r="M522" s="632"/>
    </row>
    <row r="523" spans="1:13" s="633" customFormat="1" ht="18.75" x14ac:dyDescent="0.25">
      <c r="A523" s="613"/>
      <c r="C523" s="615"/>
      <c r="D523" s="615"/>
      <c r="E523" s="615"/>
      <c r="F523" s="615"/>
      <c r="G523" s="637"/>
      <c r="H523" s="610"/>
      <c r="I523" s="632"/>
      <c r="J523" s="632"/>
      <c r="K523" s="632"/>
      <c r="L523" s="632"/>
      <c r="M523" s="632"/>
    </row>
    <row r="524" spans="1:13" s="612" customFormat="1" ht="18.75" x14ac:dyDescent="0.25">
      <c r="A524" s="613"/>
      <c r="B524" s="614"/>
      <c r="C524" s="615" t="s">
        <v>249</v>
      </c>
      <c r="D524" s="615">
        <v>7000</v>
      </c>
      <c r="E524" s="615">
        <v>97</v>
      </c>
      <c r="F524" s="615">
        <v>1</v>
      </c>
      <c r="G524" s="616">
        <v>677833</v>
      </c>
      <c r="H524" s="610"/>
      <c r="I524" s="611"/>
      <c r="J524" s="611"/>
      <c r="K524" s="611"/>
      <c r="L524" s="611"/>
      <c r="M524" s="611"/>
    </row>
    <row r="525" spans="1:13" s="633" customFormat="1" ht="18.75" x14ac:dyDescent="0.25">
      <c r="A525" s="613"/>
      <c r="B525" s="614"/>
      <c r="C525" s="615" t="s">
        <v>250</v>
      </c>
      <c r="D525" s="615">
        <v>7000</v>
      </c>
      <c r="E525" s="615">
        <v>21</v>
      </c>
      <c r="F525" s="615">
        <v>1</v>
      </c>
      <c r="G525" s="616">
        <v>144667</v>
      </c>
      <c r="H525" s="610"/>
      <c r="I525" s="632"/>
      <c r="J525" s="632"/>
      <c r="K525" s="632"/>
      <c r="L525" s="632"/>
      <c r="M525" s="632"/>
    </row>
    <row r="526" spans="1:13" s="633" customFormat="1" ht="18.75" x14ac:dyDescent="0.25">
      <c r="A526" s="613"/>
      <c r="B526" s="614"/>
      <c r="C526" s="615" t="s">
        <v>251</v>
      </c>
      <c r="D526" s="615">
        <v>7000</v>
      </c>
      <c r="E526" s="615">
        <v>32</v>
      </c>
      <c r="F526" s="615">
        <v>1</v>
      </c>
      <c r="G526" s="616">
        <v>220500</v>
      </c>
      <c r="H526" s="610"/>
      <c r="I526" s="632"/>
      <c r="J526" s="632"/>
      <c r="K526" s="632"/>
      <c r="L526" s="632"/>
      <c r="M526" s="632"/>
    </row>
    <row r="527" spans="1:13" s="612" customFormat="1" ht="18.75" x14ac:dyDescent="0.25">
      <c r="A527" s="613"/>
      <c r="B527" s="614"/>
      <c r="C527" s="615" t="s">
        <v>252</v>
      </c>
      <c r="D527" s="615">
        <v>7000</v>
      </c>
      <c r="E527" s="615">
        <v>149</v>
      </c>
      <c r="F527" s="615">
        <v>1</v>
      </c>
      <c r="G527" s="616">
        <v>1043000</v>
      </c>
      <c r="H527" s="610"/>
      <c r="I527" s="611"/>
      <c r="J527" s="611"/>
      <c r="K527" s="611"/>
      <c r="L527" s="611"/>
      <c r="M527" s="611"/>
    </row>
    <row r="528" spans="1:13" s="612" customFormat="1" ht="18.75" x14ac:dyDescent="0.25">
      <c r="A528" s="613"/>
      <c r="B528" s="614"/>
      <c r="C528" s="615"/>
      <c r="D528" s="615"/>
      <c r="E528" s="615"/>
      <c r="F528" s="615"/>
      <c r="G528" s="637"/>
      <c r="H528" s="610"/>
      <c r="I528" s="611"/>
      <c r="J528" s="611"/>
      <c r="K528" s="611"/>
      <c r="L528" s="611"/>
      <c r="M528" s="611"/>
    </row>
    <row r="529" spans="1:13" s="612" customFormat="1" ht="18.75" x14ac:dyDescent="0.25">
      <c r="A529" s="613"/>
      <c r="B529" s="614"/>
      <c r="C529" s="618" t="s">
        <v>97</v>
      </c>
      <c r="D529" s="615">
        <v>20000</v>
      </c>
      <c r="E529" s="615">
        <v>30</v>
      </c>
      <c r="F529" s="615">
        <v>3</v>
      </c>
      <c r="G529" s="629">
        <f>D529*E529*F529</f>
        <v>1800000</v>
      </c>
      <c r="H529" s="610"/>
      <c r="I529" s="611"/>
      <c r="J529" s="611"/>
      <c r="K529" s="611"/>
      <c r="L529" s="611"/>
      <c r="M529" s="611"/>
    </row>
    <row r="530" spans="1:13" s="612" customFormat="1" ht="18.75" x14ac:dyDescent="0.25">
      <c r="A530" s="613"/>
      <c r="B530" s="614"/>
      <c r="C530" s="615" t="s">
        <v>60</v>
      </c>
      <c r="D530" s="615">
        <v>20000</v>
      </c>
      <c r="E530" s="615">
        <v>30</v>
      </c>
      <c r="F530" s="615">
        <v>3</v>
      </c>
      <c r="G530" s="629">
        <f t="shared" ref="G530:G532" si="41">D530*E530*F530</f>
        <v>1800000</v>
      </c>
      <c r="H530" s="610"/>
      <c r="I530" s="611"/>
      <c r="J530" s="611"/>
      <c r="K530" s="611"/>
      <c r="L530" s="611"/>
      <c r="M530" s="611"/>
    </row>
    <row r="531" spans="1:13" s="612" customFormat="1" ht="18.75" x14ac:dyDescent="0.25">
      <c r="A531" s="613"/>
      <c r="B531" s="614"/>
      <c r="C531" s="615" t="s">
        <v>138</v>
      </c>
      <c r="D531" s="615"/>
      <c r="E531" s="615"/>
      <c r="F531" s="615"/>
      <c r="G531" s="629">
        <f t="shared" si="41"/>
        <v>0</v>
      </c>
      <c r="H531" s="610"/>
      <c r="I531" s="611"/>
      <c r="J531" s="611"/>
      <c r="K531" s="611"/>
      <c r="L531" s="611"/>
      <c r="M531" s="611"/>
    </row>
    <row r="532" spans="1:13" s="612" customFormat="1" ht="18.75" x14ac:dyDescent="0.25">
      <c r="A532" s="613"/>
      <c r="B532" s="614"/>
      <c r="C532" s="615" t="s">
        <v>147</v>
      </c>
      <c r="D532" s="615"/>
      <c r="E532" s="615"/>
      <c r="F532" s="615"/>
      <c r="G532" s="629">
        <f t="shared" si="41"/>
        <v>0</v>
      </c>
      <c r="H532" s="610"/>
      <c r="I532" s="611"/>
      <c r="J532" s="611"/>
      <c r="K532" s="611"/>
      <c r="L532" s="611"/>
      <c r="M532" s="611"/>
    </row>
    <row r="533" spans="1:13" s="633" customFormat="1" ht="18.75" x14ac:dyDescent="0.25">
      <c r="A533" s="613"/>
      <c r="B533" s="622"/>
      <c r="C533" s="615" t="s">
        <v>254</v>
      </c>
      <c r="D533" s="652">
        <v>10</v>
      </c>
      <c r="E533" s="652">
        <v>3</v>
      </c>
      <c r="F533" s="652">
        <v>7000</v>
      </c>
      <c r="G533" s="653">
        <f>D533*F533*E533</f>
        <v>210000</v>
      </c>
      <c r="H533" s="610"/>
      <c r="I533" s="632"/>
      <c r="J533" s="632"/>
      <c r="K533" s="632"/>
      <c r="L533" s="632"/>
      <c r="M533" s="632"/>
    </row>
    <row r="534" spans="1:13" s="633" customFormat="1" ht="19.5" thickBot="1" x14ac:dyDescent="0.3">
      <c r="A534" s="613"/>
      <c r="B534" s="622"/>
      <c r="C534" s="623" t="s">
        <v>140</v>
      </c>
      <c r="D534" s="623"/>
      <c r="E534" s="623"/>
      <c r="F534" s="623"/>
      <c r="G534" s="654">
        <f>SUM(G514:G533)</f>
        <v>15196000</v>
      </c>
      <c r="H534" s="598">
        <f>G534/8136</f>
        <v>1867.7482792527039</v>
      </c>
      <c r="I534" s="632"/>
      <c r="J534" s="632"/>
      <c r="K534" s="632"/>
      <c r="L534" s="632"/>
      <c r="M534" s="632"/>
    </row>
    <row r="535" spans="1:13" s="633" customFormat="1" ht="18.75" x14ac:dyDescent="0.25">
      <c r="A535" s="613"/>
      <c r="B535" s="622"/>
      <c r="C535" s="623" t="s">
        <v>589</v>
      </c>
      <c r="D535" s="623"/>
      <c r="E535" s="623"/>
      <c r="F535" s="623"/>
      <c r="G535" s="655">
        <v>0</v>
      </c>
      <c r="H535" s="610"/>
      <c r="I535" s="632"/>
      <c r="J535" s="632"/>
      <c r="K535" s="632"/>
      <c r="L535" s="632"/>
      <c r="M535" s="632"/>
    </row>
    <row r="536" spans="1:13" s="662" customFormat="1" ht="18.75" x14ac:dyDescent="0.25">
      <c r="A536" s="656">
        <v>7</v>
      </c>
      <c r="B536" s="657" t="s">
        <v>255</v>
      </c>
      <c r="C536" s="658" t="s">
        <v>256</v>
      </c>
      <c r="D536" s="743">
        <v>38820</v>
      </c>
      <c r="E536" s="660" t="s">
        <v>257</v>
      </c>
      <c r="F536" s="660">
        <v>1000</v>
      </c>
      <c r="G536" s="659">
        <f>D536*F536</f>
        <v>38820000</v>
      </c>
      <c r="H536" s="661"/>
    </row>
    <row r="537" spans="1:13" s="632" customFormat="1" ht="18.75" x14ac:dyDescent="0.25">
      <c r="B537" s="663"/>
      <c r="C537" s="664" t="s">
        <v>258</v>
      </c>
      <c r="D537" s="659">
        <v>20000</v>
      </c>
      <c r="E537" s="660" t="s">
        <v>257</v>
      </c>
      <c r="F537" s="660">
        <v>2000</v>
      </c>
      <c r="G537" s="659">
        <f>D537*F537</f>
        <v>40000000</v>
      </c>
      <c r="H537" s="610"/>
    </row>
    <row r="538" spans="1:13" s="632" customFormat="1" ht="37.5" x14ac:dyDescent="0.25">
      <c r="B538" s="663"/>
      <c r="C538" s="664" t="s">
        <v>259</v>
      </c>
      <c r="D538" s="659">
        <v>3</v>
      </c>
      <c r="E538" s="660">
        <v>223</v>
      </c>
      <c r="F538" s="660">
        <v>50000</v>
      </c>
      <c r="G538" s="659">
        <f>D538*E538*F538</f>
        <v>33450000</v>
      </c>
      <c r="H538" s="610"/>
    </row>
    <row r="539" spans="1:13" s="632" customFormat="1" ht="37.5" x14ac:dyDescent="0.25">
      <c r="B539" s="663"/>
      <c r="C539" s="664" t="s">
        <v>260</v>
      </c>
      <c r="D539" s="665">
        <v>1.5</v>
      </c>
      <c r="E539" s="660">
        <v>224</v>
      </c>
      <c r="F539" s="660">
        <v>40000</v>
      </c>
      <c r="G539" s="659">
        <f>D539*E539*F539</f>
        <v>13440000</v>
      </c>
      <c r="H539" s="610"/>
    </row>
    <row r="540" spans="1:13" s="632" customFormat="1" ht="18.75" x14ac:dyDescent="0.25">
      <c r="B540" s="663"/>
      <c r="C540" s="611" t="s">
        <v>1289</v>
      </c>
      <c r="D540" s="611">
        <v>811</v>
      </c>
      <c r="E540" s="611"/>
      <c r="F540" s="660">
        <v>20000</v>
      </c>
      <c r="G540" s="659">
        <f>F540*D540</f>
        <v>16220000</v>
      </c>
      <c r="H540" s="610"/>
    </row>
    <row r="541" spans="1:13" s="611" customFormat="1" ht="19.5" thickBot="1" x14ac:dyDescent="0.3">
      <c r="B541" s="666"/>
      <c r="C541" s="623" t="s">
        <v>140</v>
      </c>
      <c r="D541" s="615"/>
      <c r="E541" s="615"/>
      <c r="F541" s="615"/>
      <c r="G541" s="654">
        <f>SUM(G536:G540)</f>
        <v>141930000</v>
      </c>
      <c r="H541" s="642">
        <f>G541/8136</f>
        <v>17444.690265486726</v>
      </c>
    </row>
    <row r="542" spans="1:13" s="672" customFormat="1" ht="18.75" x14ac:dyDescent="0.25">
      <c r="A542" s="667">
        <v>8</v>
      </c>
      <c r="B542" s="668" t="s">
        <v>261</v>
      </c>
      <c r="C542" s="669" t="s">
        <v>262</v>
      </c>
      <c r="D542" s="670">
        <v>48</v>
      </c>
      <c r="E542" s="671">
        <v>2</v>
      </c>
      <c r="F542" s="671">
        <v>50000</v>
      </c>
      <c r="G542" s="670">
        <f>D542*E542*F542</f>
        <v>4800000</v>
      </c>
      <c r="H542" s="610"/>
    </row>
    <row r="543" spans="1:13" s="632" customFormat="1" ht="18.75" x14ac:dyDescent="0.25">
      <c r="B543" s="673"/>
      <c r="C543" s="664" t="s">
        <v>263</v>
      </c>
      <c r="D543" s="659">
        <v>48</v>
      </c>
      <c r="E543" s="660">
        <v>2</v>
      </c>
      <c r="F543" s="660">
        <v>15000</v>
      </c>
      <c r="G543" s="659">
        <f t="shared" ref="G543:G544" si="42">D543*E543*F543</f>
        <v>1440000</v>
      </c>
      <c r="H543" s="610"/>
    </row>
    <row r="544" spans="1:13" s="632" customFormat="1" ht="18.75" x14ac:dyDescent="0.25">
      <c r="B544" s="673"/>
      <c r="C544" s="664" t="s">
        <v>264</v>
      </c>
      <c r="D544" s="659">
        <v>48</v>
      </c>
      <c r="E544" s="660">
        <v>2</v>
      </c>
      <c r="F544" s="660">
        <v>50000</v>
      </c>
      <c r="G544" s="659">
        <f t="shared" si="42"/>
        <v>4800000</v>
      </c>
      <c r="H544" s="610"/>
    </row>
    <row r="545" spans="1:8" s="632" customFormat="1" ht="18.75" x14ac:dyDescent="0.25">
      <c r="B545" s="674"/>
      <c r="C545" s="615" t="s">
        <v>220</v>
      </c>
      <c r="D545" s="675">
        <v>48</v>
      </c>
      <c r="E545" s="660">
        <v>10</v>
      </c>
      <c r="F545" s="742">
        <v>7000</v>
      </c>
      <c r="G545" s="675">
        <f>D545*E545*F545</f>
        <v>3360000</v>
      </c>
      <c r="H545" s="610"/>
    </row>
    <row r="546" spans="1:8" s="632" customFormat="1" ht="18.75" x14ac:dyDescent="0.25">
      <c r="B546" s="674"/>
      <c r="C546" s="676" t="s">
        <v>265</v>
      </c>
      <c r="D546" s="659">
        <v>12</v>
      </c>
      <c r="E546" s="660">
        <v>1</v>
      </c>
      <c r="F546" s="660">
        <v>1000000</v>
      </c>
      <c r="G546" s="659">
        <f>D546*E546*F546</f>
        <v>12000000</v>
      </c>
      <c r="H546" s="610"/>
    </row>
    <row r="547" spans="1:8" s="632" customFormat="1" ht="37.5" x14ac:dyDescent="0.25">
      <c r="B547" s="674"/>
      <c r="C547" s="664" t="s">
        <v>266</v>
      </c>
      <c r="D547" s="659">
        <v>10</v>
      </c>
      <c r="E547" s="660">
        <v>1</v>
      </c>
      <c r="F547" s="660">
        <v>500000</v>
      </c>
      <c r="G547" s="659">
        <f>D547*E547*F547</f>
        <v>5000000</v>
      </c>
      <c r="H547" s="610"/>
    </row>
    <row r="548" spans="1:8" s="677" customFormat="1" ht="19.5" thickBot="1" x14ac:dyDescent="0.3">
      <c r="B548" s="678"/>
      <c r="C548" s="623" t="s">
        <v>140</v>
      </c>
      <c r="D548" s="679"/>
      <c r="E548" s="679"/>
      <c r="F548" s="679"/>
      <c r="G548" s="654">
        <f>SUM(G542:G547)</f>
        <v>31400000</v>
      </c>
      <c r="H548" s="642">
        <f>G548/8136</f>
        <v>3859.3903638151428</v>
      </c>
    </row>
    <row r="549" spans="1:8" s="672" customFormat="1" ht="37.5" x14ac:dyDescent="0.25">
      <c r="A549" s="680">
        <v>9</v>
      </c>
      <c r="B549" s="681" t="s">
        <v>1290</v>
      </c>
      <c r="C549" s="669" t="s">
        <v>39</v>
      </c>
      <c r="D549" s="670"/>
      <c r="E549" s="671"/>
      <c r="F549" s="671"/>
      <c r="G549" s="670"/>
      <c r="H549" s="610"/>
    </row>
    <row r="550" spans="1:8" s="632" customFormat="1" ht="18.75" x14ac:dyDescent="0.25">
      <c r="B550" s="663"/>
      <c r="C550" s="615" t="s">
        <v>147</v>
      </c>
      <c r="D550" s="653">
        <v>1</v>
      </c>
      <c r="E550" s="652">
        <v>1</v>
      </c>
      <c r="F550" s="652">
        <v>150000</v>
      </c>
      <c r="G550" s="653">
        <f>D550*E550*F550</f>
        <v>150000</v>
      </c>
      <c r="H550" s="610"/>
    </row>
    <row r="551" spans="1:8" s="632" customFormat="1" ht="18.75" x14ac:dyDescent="0.25">
      <c r="B551" s="663"/>
      <c r="C551" s="615" t="s">
        <v>149</v>
      </c>
      <c r="D551" s="652">
        <v>20</v>
      </c>
      <c r="E551" s="652">
        <v>4</v>
      </c>
      <c r="F551" s="652">
        <v>7000</v>
      </c>
      <c r="G551" s="653">
        <f>D551*F551*E551</f>
        <v>560000</v>
      </c>
      <c r="H551" s="682"/>
    </row>
    <row r="552" spans="1:8" s="632" customFormat="1" ht="18.75" x14ac:dyDescent="0.25">
      <c r="B552" s="663"/>
      <c r="C552" s="618" t="s">
        <v>97</v>
      </c>
      <c r="D552" s="652">
        <v>7</v>
      </c>
      <c r="E552" s="652">
        <v>4</v>
      </c>
      <c r="F552" s="652">
        <v>40000</v>
      </c>
      <c r="G552" s="653">
        <f t="shared" ref="G552:G557" si="43">D552*E552*F552</f>
        <v>1120000</v>
      </c>
      <c r="H552" s="610"/>
    </row>
    <row r="553" spans="1:8" s="632" customFormat="1" ht="18.75" x14ac:dyDescent="0.25">
      <c r="B553" s="663"/>
      <c r="C553" s="615" t="s">
        <v>60</v>
      </c>
      <c r="D553" s="652">
        <v>45</v>
      </c>
      <c r="E553" s="652">
        <v>4</v>
      </c>
      <c r="F553" s="652">
        <v>20000</v>
      </c>
      <c r="G553" s="653">
        <f t="shared" si="43"/>
        <v>3600000</v>
      </c>
      <c r="H553" s="610"/>
    </row>
    <row r="554" spans="1:8" s="632" customFormat="1" ht="18.75" x14ac:dyDescent="0.25">
      <c r="B554" s="663"/>
      <c r="C554" s="615" t="s">
        <v>138</v>
      </c>
      <c r="D554" s="652">
        <v>45</v>
      </c>
      <c r="E554" s="652">
        <v>4</v>
      </c>
      <c r="F554" s="652">
        <v>20000</v>
      </c>
      <c r="G554" s="653">
        <f t="shared" si="43"/>
        <v>3600000</v>
      </c>
      <c r="H554" s="610"/>
    </row>
    <row r="555" spans="1:8" s="632" customFormat="1" ht="18.75" x14ac:dyDescent="0.25">
      <c r="B555" s="663"/>
      <c r="C555" s="615" t="s">
        <v>138</v>
      </c>
      <c r="D555" s="652">
        <v>30</v>
      </c>
      <c r="E555" s="652">
        <v>1</v>
      </c>
      <c r="F555" s="652">
        <v>50000</v>
      </c>
      <c r="G555" s="653">
        <f t="shared" si="43"/>
        <v>1500000</v>
      </c>
      <c r="H555" s="610"/>
    </row>
    <row r="556" spans="1:8" s="632" customFormat="1" ht="18.75" x14ac:dyDescent="0.25">
      <c r="B556" s="663"/>
      <c r="C556" s="615" t="s">
        <v>285</v>
      </c>
      <c r="D556" s="652">
        <v>450</v>
      </c>
      <c r="E556" s="652">
        <v>4</v>
      </c>
      <c r="F556" s="652">
        <v>7000</v>
      </c>
      <c r="G556" s="653">
        <f t="shared" si="43"/>
        <v>12600000</v>
      </c>
      <c r="H556" s="682"/>
    </row>
    <row r="557" spans="1:8" s="632" customFormat="1" ht="18.75" x14ac:dyDescent="0.25">
      <c r="B557" s="663"/>
      <c r="C557" s="615" t="s">
        <v>286</v>
      </c>
      <c r="D557" s="659">
        <v>1</v>
      </c>
      <c r="E557" s="660">
        <v>4</v>
      </c>
      <c r="F557" s="660">
        <v>1000000</v>
      </c>
      <c r="G557" s="653">
        <f t="shared" si="43"/>
        <v>4000000</v>
      </c>
      <c r="H557" s="610"/>
    </row>
    <row r="558" spans="1:8" s="632" customFormat="1" ht="19.5" thickBot="1" x14ac:dyDescent="0.3">
      <c r="B558" s="663"/>
      <c r="C558" s="623" t="s">
        <v>140</v>
      </c>
      <c r="D558" s="623"/>
      <c r="E558" s="623"/>
      <c r="F558" s="623"/>
      <c r="G558" s="683">
        <f>G550+G551+G552+G553+G554+G555+G556+G557</f>
        <v>27130000</v>
      </c>
      <c r="H558" s="598">
        <f>G558/8136</f>
        <v>3334.5624385447395</v>
      </c>
    </row>
    <row r="559" spans="1:8" s="632" customFormat="1" ht="18.75" x14ac:dyDescent="0.25">
      <c r="A559" s="684">
        <v>10</v>
      </c>
      <c r="B559" s="685" t="s">
        <v>312</v>
      </c>
      <c r="C559" s="686" t="s">
        <v>313</v>
      </c>
      <c r="D559" s="670"/>
      <c r="E559" s="671"/>
      <c r="F559" s="671"/>
      <c r="G559" s="670"/>
      <c r="H559" s="610"/>
    </row>
    <row r="560" spans="1:8" s="632" customFormat="1" ht="18.75" x14ac:dyDescent="0.25">
      <c r="C560" s="687" t="s">
        <v>314</v>
      </c>
      <c r="D560" s="653">
        <v>1</v>
      </c>
      <c r="E560" s="652">
        <v>1</v>
      </c>
      <c r="F560" s="652">
        <v>300000</v>
      </c>
      <c r="G560" s="653">
        <f>D560*E560*F560</f>
        <v>300000</v>
      </c>
      <c r="H560" s="610"/>
    </row>
    <row r="561" spans="1:20" s="632" customFormat="1" ht="18.75" x14ac:dyDescent="0.25">
      <c r="C561" s="688" t="s">
        <v>315</v>
      </c>
      <c r="D561" s="652"/>
      <c r="E561" s="652"/>
      <c r="F561" s="652"/>
      <c r="G561" s="653">
        <f t="shared" ref="G561:G571" si="44">D561*E561*F561</f>
        <v>0</v>
      </c>
      <c r="H561" s="610"/>
    </row>
    <row r="562" spans="1:20" s="632" customFormat="1" ht="18.75" x14ac:dyDescent="0.25">
      <c r="C562" s="653" t="s">
        <v>316</v>
      </c>
      <c r="D562" s="652">
        <v>7</v>
      </c>
      <c r="E562" s="652">
        <v>2</v>
      </c>
      <c r="F562" s="652">
        <v>40000</v>
      </c>
      <c r="G562" s="653">
        <f t="shared" si="44"/>
        <v>560000</v>
      </c>
      <c r="H562" s="610"/>
    </row>
    <row r="563" spans="1:20" s="632" customFormat="1" ht="18.75" x14ac:dyDescent="0.25">
      <c r="C563" s="615" t="s">
        <v>317</v>
      </c>
      <c r="D563" s="652">
        <v>40</v>
      </c>
      <c r="E563" s="652">
        <v>2</v>
      </c>
      <c r="F563" s="652">
        <v>7000</v>
      </c>
      <c r="G563" s="653">
        <f>D563*F563*E563</f>
        <v>560000</v>
      </c>
      <c r="H563" s="610"/>
    </row>
    <row r="564" spans="1:20" s="632" customFormat="1" ht="18.75" x14ac:dyDescent="0.25">
      <c r="C564" s="676" t="s">
        <v>97</v>
      </c>
      <c r="D564" s="652">
        <v>1000</v>
      </c>
      <c r="E564" s="652">
        <v>1</v>
      </c>
      <c r="F564" s="652">
        <v>10000</v>
      </c>
      <c r="G564" s="653">
        <f t="shared" si="44"/>
        <v>10000000</v>
      </c>
      <c r="H564" s="610"/>
    </row>
    <row r="565" spans="1:20" s="632" customFormat="1" ht="18.75" x14ac:dyDescent="0.25">
      <c r="C565" s="653" t="s">
        <v>60</v>
      </c>
      <c r="D565" s="652">
        <v>1000</v>
      </c>
      <c r="E565" s="652">
        <v>1</v>
      </c>
      <c r="F565" s="652">
        <v>10000</v>
      </c>
      <c r="G565" s="653">
        <f t="shared" si="44"/>
        <v>10000000</v>
      </c>
      <c r="H565" s="610"/>
    </row>
    <row r="566" spans="1:20" s="632" customFormat="1" ht="18.75" x14ac:dyDescent="0.25">
      <c r="C566" s="653" t="s">
        <v>318</v>
      </c>
      <c r="D566" s="652">
        <v>10</v>
      </c>
      <c r="E566" s="652">
        <v>1</v>
      </c>
      <c r="F566" s="652">
        <v>50000</v>
      </c>
      <c r="G566" s="653">
        <f t="shared" si="44"/>
        <v>500000</v>
      </c>
      <c r="H566" s="610"/>
    </row>
    <row r="567" spans="1:20" s="632" customFormat="1" ht="18.75" x14ac:dyDescent="0.25">
      <c r="C567" s="653" t="s">
        <v>319</v>
      </c>
      <c r="D567" s="652">
        <v>10</v>
      </c>
      <c r="E567" s="652">
        <v>1</v>
      </c>
      <c r="F567" s="652">
        <v>500000</v>
      </c>
      <c r="G567" s="653">
        <f t="shared" si="44"/>
        <v>5000000</v>
      </c>
      <c r="H567" s="610"/>
    </row>
    <row r="568" spans="1:20" s="632" customFormat="1" ht="18.75" x14ac:dyDescent="0.3">
      <c r="C568" s="653" t="s">
        <v>320</v>
      </c>
      <c r="D568" s="689">
        <v>4</v>
      </c>
      <c r="E568" s="689">
        <v>10</v>
      </c>
      <c r="F568" s="690">
        <v>50000</v>
      </c>
      <c r="G568" s="690">
        <f t="shared" si="44"/>
        <v>2000000</v>
      </c>
      <c r="H568" s="610"/>
    </row>
    <row r="569" spans="1:20" s="632" customFormat="1" ht="18.75" x14ac:dyDescent="0.3">
      <c r="C569" s="653" t="s">
        <v>321</v>
      </c>
      <c r="D569" s="689">
        <v>1</v>
      </c>
      <c r="E569" s="689">
        <v>1</v>
      </c>
      <c r="F569" s="690">
        <v>1500000</v>
      </c>
      <c r="G569" s="690">
        <f t="shared" si="44"/>
        <v>1500000</v>
      </c>
      <c r="H569" s="610"/>
    </row>
    <row r="570" spans="1:20" s="632" customFormat="1" ht="18.75" x14ac:dyDescent="0.3">
      <c r="C570" s="653" t="s">
        <v>322</v>
      </c>
      <c r="D570" s="689">
        <v>25</v>
      </c>
      <c r="E570" s="689">
        <v>2</v>
      </c>
      <c r="F570" s="690">
        <v>50000</v>
      </c>
      <c r="G570" s="690">
        <f t="shared" si="44"/>
        <v>2500000</v>
      </c>
      <c r="H570" s="610"/>
    </row>
    <row r="571" spans="1:20" s="632" customFormat="1" ht="18.75" x14ac:dyDescent="0.3">
      <c r="C571" s="653" t="s">
        <v>323</v>
      </c>
      <c r="D571" s="689">
        <v>1</v>
      </c>
      <c r="E571" s="689">
        <v>2</v>
      </c>
      <c r="F571" s="690">
        <v>2000000</v>
      </c>
      <c r="G571" s="690">
        <f t="shared" si="44"/>
        <v>4000000</v>
      </c>
      <c r="H571" s="610"/>
    </row>
    <row r="572" spans="1:20" s="632" customFormat="1" ht="19.5" thickBot="1" x14ac:dyDescent="0.3">
      <c r="C572" s="623" t="s">
        <v>140</v>
      </c>
      <c r="D572" s="623"/>
      <c r="E572" s="623"/>
      <c r="F572" s="623"/>
      <c r="G572" s="683">
        <f>G560+G562+G564+G565+G566+G567+G568+G569+G570+G571+G563</f>
        <v>36920000</v>
      </c>
      <c r="H572" s="598">
        <f>G572/8136</f>
        <v>4537.8564405113075</v>
      </c>
    </row>
    <row r="573" spans="1:20" s="696" customFormat="1" ht="18.75" x14ac:dyDescent="0.3">
      <c r="A573" s="784"/>
      <c r="B573" s="784"/>
      <c r="C573" s="784"/>
      <c r="D573" s="785"/>
      <c r="E573" s="786" t="s">
        <v>1291</v>
      </c>
      <c r="F573" s="787"/>
      <c r="G573" s="691">
        <f>G572+G558+G548+G541+G534+G510+G501+G492+G484+G432+G383</f>
        <v>596360999.33333325</v>
      </c>
      <c r="H573" s="692">
        <f>SUM(H334:H572)</f>
        <v>73299.041215994745</v>
      </c>
      <c r="I573" s="693"/>
      <c r="J573" s="693"/>
      <c r="K573" s="693"/>
      <c r="L573" s="693"/>
      <c r="M573" s="693"/>
      <c r="N573" s="693"/>
      <c r="O573" s="693"/>
      <c r="P573" s="693"/>
      <c r="Q573" s="693"/>
      <c r="R573" s="693"/>
      <c r="S573" s="694"/>
      <c r="T573" s="695"/>
    </row>
    <row r="574" spans="1:20" s="696" customFormat="1" ht="18.75" x14ac:dyDescent="0.3">
      <c r="A574" s="697" t="s">
        <v>1292</v>
      </c>
      <c r="B574" s="697" t="s">
        <v>1293</v>
      </c>
      <c r="C574" s="697"/>
      <c r="D574" s="697"/>
      <c r="E574" s="697"/>
      <c r="F574" s="697"/>
      <c r="G574" s="697"/>
      <c r="H574" s="698"/>
      <c r="I574" s="698"/>
      <c r="J574" s="698"/>
      <c r="K574" s="698"/>
      <c r="L574" s="698"/>
      <c r="M574" s="698"/>
      <c r="N574" s="698"/>
      <c r="O574" s="698"/>
      <c r="P574" s="698"/>
      <c r="Q574" s="698"/>
      <c r="R574" s="698"/>
      <c r="S574" s="698"/>
    </row>
    <row r="575" spans="1:20" s="696" customFormat="1" ht="18.75" x14ac:dyDescent="0.3">
      <c r="A575" s="699">
        <v>1</v>
      </c>
      <c r="B575" s="700" t="s">
        <v>1162</v>
      </c>
      <c r="C575" s="701"/>
      <c r="D575" s="701"/>
      <c r="E575" s="701"/>
      <c r="F575" s="701"/>
      <c r="G575" s="702">
        <v>130039.33</v>
      </c>
      <c r="H575" s="703">
        <f>G575</f>
        <v>130039.33</v>
      </c>
      <c r="I575" s="704"/>
      <c r="J575" s="704"/>
      <c r="K575" s="704"/>
      <c r="L575" s="705"/>
      <c r="M575" s="705"/>
      <c r="N575" s="705"/>
      <c r="O575" s="705"/>
      <c r="P575" s="705"/>
      <c r="Q575" s="705"/>
      <c r="R575" s="705"/>
      <c r="S575" s="705"/>
    </row>
    <row r="576" spans="1:20" s="706" customFormat="1" ht="24" thickBot="1" x14ac:dyDescent="0.4">
      <c r="A576" s="475" t="s">
        <v>1294</v>
      </c>
      <c r="B576" s="475" t="s">
        <v>1295</v>
      </c>
      <c r="C576" s="475"/>
      <c r="D576" s="475"/>
      <c r="E576" s="475"/>
      <c r="F576" s="475"/>
      <c r="G576" s="475"/>
    </row>
    <row r="577" spans="1:11" s="708" customFormat="1" ht="18.75" x14ac:dyDescent="0.25">
      <c r="A577" s="606">
        <v>1</v>
      </c>
      <c r="B577" s="788" t="s">
        <v>1296</v>
      </c>
      <c r="C577" s="608" t="s">
        <v>39</v>
      </c>
      <c r="D577" s="608">
        <v>150000</v>
      </c>
      <c r="E577" s="608">
        <v>1</v>
      </c>
      <c r="F577" s="608">
        <v>1</v>
      </c>
      <c r="G577" s="707">
        <f t="shared" ref="G577" si="45">D577*E577*F577</f>
        <v>150000</v>
      </c>
      <c r="H577" s="534"/>
      <c r="I577" s="525"/>
      <c r="J577" s="525"/>
      <c r="K577" s="525"/>
    </row>
    <row r="578" spans="1:11" s="708" customFormat="1" ht="18.75" x14ac:dyDescent="0.25">
      <c r="A578" s="613"/>
      <c r="B578" s="789"/>
      <c r="C578" s="615" t="s">
        <v>445</v>
      </c>
      <c r="D578" s="615">
        <v>270000</v>
      </c>
      <c r="E578" s="615">
        <v>1</v>
      </c>
      <c r="F578" s="615">
        <v>2</v>
      </c>
      <c r="G578" s="709">
        <f>D578*E578*F578</f>
        <v>540000</v>
      </c>
      <c r="H578" s="534"/>
      <c r="I578" s="525"/>
      <c r="J578" s="525"/>
      <c r="K578" s="525"/>
    </row>
    <row r="579" spans="1:11" s="708" customFormat="1" ht="18.75" x14ac:dyDescent="0.25">
      <c r="A579" s="613"/>
      <c r="B579" s="789"/>
      <c r="C579" s="615" t="s">
        <v>446</v>
      </c>
      <c r="D579" s="615">
        <v>100000</v>
      </c>
      <c r="E579" s="615">
        <v>1</v>
      </c>
      <c r="F579" s="615">
        <v>1</v>
      </c>
      <c r="G579" s="709">
        <f t="shared" ref="G579:G629" si="46">D579*E579*F579</f>
        <v>100000</v>
      </c>
      <c r="H579" s="534"/>
      <c r="I579" s="525"/>
      <c r="J579" s="525"/>
      <c r="K579" s="525"/>
    </row>
    <row r="580" spans="1:11" s="708" customFormat="1" ht="56.25" x14ac:dyDescent="0.25">
      <c r="A580" s="613"/>
      <c r="B580" s="789"/>
      <c r="C580" s="618" t="s">
        <v>712</v>
      </c>
      <c r="D580" s="615">
        <v>250000</v>
      </c>
      <c r="E580" s="615">
        <v>7</v>
      </c>
      <c r="F580" s="615">
        <v>2</v>
      </c>
      <c r="G580" s="709">
        <f t="shared" si="46"/>
        <v>3500000</v>
      </c>
      <c r="H580" s="534"/>
      <c r="I580" s="525"/>
      <c r="J580" s="525"/>
      <c r="K580" s="525"/>
    </row>
    <row r="581" spans="1:11" s="708" customFormat="1" ht="37.5" x14ac:dyDescent="0.25">
      <c r="A581" s="613"/>
      <c r="B581" s="622"/>
      <c r="C581" s="618" t="s">
        <v>713</v>
      </c>
      <c r="D581" s="615">
        <v>100000</v>
      </c>
      <c r="E581" s="615">
        <v>7</v>
      </c>
      <c r="F581" s="615">
        <v>1</v>
      </c>
      <c r="G581" s="709">
        <f t="shared" si="46"/>
        <v>700000</v>
      </c>
      <c r="H581" s="534"/>
      <c r="I581" s="525"/>
      <c r="J581" s="525"/>
      <c r="K581" s="525"/>
    </row>
    <row r="582" spans="1:11" s="708" customFormat="1" ht="18.75" x14ac:dyDescent="0.25">
      <c r="A582" s="613"/>
      <c r="B582" s="622"/>
      <c r="C582" s="615" t="s">
        <v>1297</v>
      </c>
      <c r="D582" s="615">
        <v>250000</v>
      </c>
      <c r="E582" s="615">
        <v>2</v>
      </c>
      <c r="F582" s="615">
        <v>2</v>
      </c>
      <c r="G582" s="709">
        <f t="shared" si="46"/>
        <v>1000000</v>
      </c>
      <c r="H582" s="534"/>
      <c r="I582" s="525"/>
      <c r="J582" s="525"/>
      <c r="K582" s="525"/>
    </row>
    <row r="583" spans="1:11" s="708" customFormat="1" ht="18.75" x14ac:dyDescent="0.25">
      <c r="A583" s="613"/>
      <c r="B583" s="622"/>
      <c r="C583" s="615" t="s">
        <v>1298</v>
      </c>
      <c r="D583" s="615">
        <v>100000</v>
      </c>
      <c r="E583" s="615">
        <v>2</v>
      </c>
      <c r="F583" s="615">
        <v>1</v>
      </c>
      <c r="G583" s="709">
        <f t="shared" si="46"/>
        <v>200000</v>
      </c>
      <c r="H583" s="534"/>
      <c r="I583" s="525"/>
      <c r="J583" s="525"/>
      <c r="K583" s="525"/>
    </row>
    <row r="584" spans="1:11" s="708" customFormat="1" ht="75" x14ac:dyDescent="0.25">
      <c r="A584" s="613"/>
      <c r="B584" s="614"/>
      <c r="C584" s="618" t="s">
        <v>1299</v>
      </c>
      <c r="D584" s="615">
        <v>250000</v>
      </c>
      <c r="E584" s="615">
        <v>38</v>
      </c>
      <c r="F584" s="615">
        <v>2</v>
      </c>
      <c r="G584" s="709">
        <f t="shared" si="46"/>
        <v>19000000</v>
      </c>
      <c r="H584" s="534"/>
      <c r="I584" s="525"/>
      <c r="J584" s="525"/>
      <c r="K584" s="525"/>
    </row>
    <row r="585" spans="1:11" s="708" customFormat="1" ht="75" x14ac:dyDescent="0.25">
      <c r="A585" s="613"/>
      <c r="B585" s="614"/>
      <c r="C585" s="618" t="s">
        <v>1300</v>
      </c>
      <c r="D585" s="615">
        <v>100000</v>
      </c>
      <c r="E585" s="615">
        <v>38</v>
      </c>
      <c r="F585" s="615">
        <v>1</v>
      </c>
      <c r="G585" s="709">
        <f t="shared" si="46"/>
        <v>3800000</v>
      </c>
      <c r="H585" s="534"/>
      <c r="I585" s="525"/>
      <c r="J585" s="525"/>
      <c r="K585" s="525"/>
    </row>
    <row r="586" spans="1:11" s="708" customFormat="1" ht="75" x14ac:dyDescent="0.25">
      <c r="A586" s="613"/>
      <c r="B586" s="614" t="s">
        <v>225</v>
      </c>
      <c r="C586" s="627" t="s">
        <v>1301</v>
      </c>
      <c r="D586" s="615">
        <v>250000</v>
      </c>
      <c r="E586" s="615">
        <v>12</v>
      </c>
      <c r="F586" s="615">
        <v>2</v>
      </c>
      <c r="G586" s="709">
        <f t="shared" si="46"/>
        <v>6000000</v>
      </c>
      <c r="H586" s="534"/>
      <c r="I586" s="525"/>
      <c r="J586" s="525"/>
      <c r="K586" s="525"/>
    </row>
    <row r="587" spans="1:11" s="708" customFormat="1" ht="112.5" x14ac:dyDescent="0.25">
      <c r="A587" s="613"/>
      <c r="B587" s="614" t="s">
        <v>1302</v>
      </c>
      <c r="C587" s="627" t="s">
        <v>1303</v>
      </c>
      <c r="D587" s="615">
        <v>100000</v>
      </c>
      <c r="E587" s="615">
        <v>12</v>
      </c>
      <c r="F587" s="615">
        <v>1</v>
      </c>
      <c r="G587" s="709">
        <f t="shared" si="46"/>
        <v>1200000</v>
      </c>
      <c r="H587" s="534"/>
      <c r="I587" s="525"/>
      <c r="J587" s="525"/>
      <c r="K587" s="525"/>
    </row>
    <row r="588" spans="1:11" s="708" customFormat="1" ht="37.5" x14ac:dyDescent="0.25">
      <c r="A588" s="613"/>
      <c r="B588" s="614" t="s">
        <v>1304</v>
      </c>
      <c r="C588" s="627" t="s">
        <v>1305</v>
      </c>
      <c r="D588" s="615">
        <v>250000</v>
      </c>
      <c r="E588" s="615">
        <v>3</v>
      </c>
      <c r="F588" s="615">
        <v>2</v>
      </c>
      <c r="G588" s="709">
        <f t="shared" si="46"/>
        <v>1500000</v>
      </c>
      <c r="H588" s="534"/>
      <c r="I588" s="525"/>
      <c r="J588" s="525"/>
      <c r="K588" s="525"/>
    </row>
    <row r="589" spans="1:11" s="708" customFormat="1" ht="18.75" x14ac:dyDescent="0.25">
      <c r="A589" s="613"/>
      <c r="B589" s="614" t="s">
        <v>1306</v>
      </c>
      <c r="C589" s="627" t="s">
        <v>1307</v>
      </c>
      <c r="D589" s="615">
        <v>100000</v>
      </c>
      <c r="E589" s="615">
        <v>3</v>
      </c>
      <c r="F589" s="615">
        <v>1</v>
      </c>
      <c r="G589" s="709">
        <f t="shared" si="46"/>
        <v>300000</v>
      </c>
      <c r="H589" s="710"/>
      <c r="I589" s="525"/>
      <c r="J589" s="525"/>
      <c r="K589" s="525"/>
    </row>
    <row r="590" spans="1:11" s="708" customFormat="1" ht="18.75" x14ac:dyDescent="0.25">
      <c r="A590" s="613"/>
      <c r="B590" s="614"/>
      <c r="C590" s="615" t="s">
        <v>1308</v>
      </c>
      <c r="D590" s="615">
        <v>250000</v>
      </c>
      <c r="E590" s="615">
        <v>1</v>
      </c>
      <c r="F590" s="615">
        <v>2</v>
      </c>
      <c r="G590" s="709">
        <f t="shared" si="46"/>
        <v>500000</v>
      </c>
      <c r="H590" s="534"/>
      <c r="I590" s="525"/>
      <c r="J590" s="525"/>
      <c r="K590" s="525"/>
    </row>
    <row r="591" spans="1:11" s="708" customFormat="1" ht="18.75" x14ac:dyDescent="0.25">
      <c r="A591" s="613"/>
      <c r="B591" s="614"/>
      <c r="C591" s="615" t="s">
        <v>1309</v>
      </c>
      <c r="D591" s="615">
        <v>100000</v>
      </c>
      <c r="E591" s="615">
        <v>1</v>
      </c>
      <c r="F591" s="615">
        <v>1</v>
      </c>
      <c r="G591" s="709">
        <f t="shared" si="46"/>
        <v>100000</v>
      </c>
      <c r="H591" s="534"/>
      <c r="I591" s="525"/>
      <c r="J591" s="525"/>
      <c r="K591" s="525"/>
    </row>
    <row r="592" spans="1:11" s="708" customFormat="1" ht="18.75" x14ac:dyDescent="0.25">
      <c r="A592" s="613"/>
      <c r="B592" s="614"/>
      <c r="C592" s="627" t="s">
        <v>663</v>
      </c>
      <c r="D592" s="615">
        <v>250000</v>
      </c>
      <c r="E592" s="615">
        <v>5</v>
      </c>
      <c r="F592" s="615">
        <f>2+3</f>
        <v>5</v>
      </c>
      <c r="G592" s="709">
        <f t="shared" si="46"/>
        <v>6250000</v>
      </c>
      <c r="H592" s="534"/>
      <c r="I592" s="525"/>
      <c r="J592" s="525"/>
      <c r="K592" s="525"/>
    </row>
    <row r="593" spans="1:11" s="708" customFormat="1" ht="18.75" x14ac:dyDescent="0.25">
      <c r="A593" s="613"/>
      <c r="B593" s="614"/>
      <c r="C593" s="627" t="s">
        <v>681</v>
      </c>
      <c r="D593" s="615">
        <v>50000</v>
      </c>
      <c r="E593" s="615">
        <v>5</v>
      </c>
      <c r="F593" s="615">
        <v>1</v>
      </c>
      <c r="G593" s="709">
        <f t="shared" si="46"/>
        <v>250000</v>
      </c>
      <c r="H593" s="534"/>
      <c r="I593" s="525"/>
      <c r="J593" s="525"/>
      <c r="K593" s="525"/>
    </row>
    <row r="594" spans="1:11" s="708" customFormat="1" ht="18.75" x14ac:dyDescent="0.25">
      <c r="A594" s="613"/>
      <c r="B594" s="622"/>
      <c r="C594" s="615" t="s">
        <v>682</v>
      </c>
      <c r="D594" s="615">
        <v>250000</v>
      </c>
      <c r="E594" s="615">
        <v>1</v>
      </c>
      <c r="F594" s="615">
        <f>2+3</f>
        <v>5</v>
      </c>
      <c r="G594" s="709">
        <f t="shared" si="46"/>
        <v>1250000</v>
      </c>
      <c r="H594" s="534"/>
      <c r="I594" s="525"/>
      <c r="J594" s="525"/>
      <c r="K594" s="525"/>
    </row>
    <row r="595" spans="1:11" s="708" customFormat="1" ht="18.75" x14ac:dyDescent="0.25">
      <c r="A595" s="613"/>
      <c r="B595" s="622"/>
      <c r="C595" s="615" t="s">
        <v>1310</v>
      </c>
      <c r="D595" s="615">
        <v>50000</v>
      </c>
      <c r="E595" s="615">
        <v>1</v>
      </c>
      <c r="F595" s="615">
        <v>1</v>
      </c>
      <c r="G595" s="709">
        <f t="shared" si="46"/>
        <v>50000</v>
      </c>
      <c r="H595" s="534"/>
      <c r="I595" s="525"/>
      <c r="J595" s="525"/>
      <c r="K595" s="525"/>
    </row>
    <row r="596" spans="1:11" s="708" customFormat="1" ht="18.75" x14ac:dyDescent="0.25">
      <c r="A596" s="613"/>
      <c r="B596" s="614"/>
      <c r="C596" s="627" t="s">
        <v>1311</v>
      </c>
      <c r="D596" s="615">
        <v>250000</v>
      </c>
      <c r="E596" s="615">
        <f>4*4</f>
        <v>16</v>
      </c>
      <c r="F596" s="615">
        <f>2+3</f>
        <v>5</v>
      </c>
      <c r="G596" s="709">
        <f t="shared" si="46"/>
        <v>20000000</v>
      </c>
      <c r="H596" s="534"/>
      <c r="I596" s="525"/>
      <c r="J596" s="525"/>
      <c r="K596" s="525"/>
    </row>
    <row r="597" spans="1:11" s="708" customFormat="1" ht="37.5" x14ac:dyDescent="0.25">
      <c r="A597" s="613"/>
      <c r="B597" s="614"/>
      <c r="C597" s="627" t="s">
        <v>1312</v>
      </c>
      <c r="D597" s="615">
        <v>50000</v>
      </c>
      <c r="E597" s="615">
        <f>4*4</f>
        <v>16</v>
      </c>
      <c r="F597" s="615">
        <v>1</v>
      </c>
      <c r="G597" s="709">
        <f t="shared" si="46"/>
        <v>800000</v>
      </c>
      <c r="H597" s="534"/>
      <c r="I597" s="525"/>
      <c r="J597" s="525"/>
      <c r="K597" s="525"/>
    </row>
    <row r="598" spans="1:11" s="708" customFormat="1" ht="18.75" x14ac:dyDescent="0.25">
      <c r="A598" s="613"/>
      <c r="B598" s="622"/>
      <c r="C598" s="615" t="s">
        <v>1313</v>
      </c>
      <c r="D598" s="615">
        <v>250000</v>
      </c>
      <c r="E598" s="615">
        <f>1*4</f>
        <v>4</v>
      </c>
      <c r="F598" s="615">
        <f>2+3</f>
        <v>5</v>
      </c>
      <c r="G598" s="709">
        <f t="shared" si="46"/>
        <v>5000000</v>
      </c>
      <c r="H598" s="534"/>
      <c r="I598" s="525"/>
      <c r="J598" s="525"/>
      <c r="K598" s="525"/>
    </row>
    <row r="599" spans="1:11" s="708" customFormat="1" ht="18.75" x14ac:dyDescent="0.25">
      <c r="A599" s="613"/>
      <c r="B599" s="622"/>
      <c r="C599" s="615" t="s">
        <v>1314</v>
      </c>
      <c r="D599" s="615">
        <v>50000</v>
      </c>
      <c r="E599" s="615">
        <f>1*4</f>
        <v>4</v>
      </c>
      <c r="F599" s="615">
        <v>1</v>
      </c>
      <c r="G599" s="709">
        <f t="shared" si="46"/>
        <v>200000</v>
      </c>
      <c r="H599" s="534"/>
      <c r="I599" s="525"/>
      <c r="J599" s="525"/>
      <c r="K599" s="525"/>
    </row>
    <row r="600" spans="1:11" s="708" customFormat="1" ht="18.75" x14ac:dyDescent="0.25">
      <c r="A600" s="613"/>
      <c r="B600" s="614"/>
      <c r="C600" s="627" t="s">
        <v>1315</v>
      </c>
      <c r="D600" s="615">
        <v>250000</v>
      </c>
      <c r="E600" s="615">
        <f>4*3</f>
        <v>12</v>
      </c>
      <c r="F600" s="615">
        <v>4</v>
      </c>
      <c r="G600" s="709">
        <f t="shared" si="46"/>
        <v>12000000</v>
      </c>
      <c r="H600" s="534"/>
      <c r="I600" s="525"/>
      <c r="J600" s="525"/>
      <c r="K600" s="525"/>
    </row>
    <row r="601" spans="1:11" s="708" customFormat="1" ht="18.75" x14ac:dyDescent="0.25">
      <c r="A601" s="613"/>
      <c r="B601" s="614"/>
      <c r="C601" s="627" t="s">
        <v>1316</v>
      </c>
      <c r="D601" s="615">
        <v>50000</v>
      </c>
      <c r="E601" s="615">
        <f>4*3</f>
        <v>12</v>
      </c>
      <c r="F601" s="615">
        <v>1</v>
      </c>
      <c r="G601" s="709">
        <f t="shared" si="46"/>
        <v>600000</v>
      </c>
      <c r="H601" s="534"/>
      <c r="I601" s="525"/>
      <c r="J601" s="525"/>
      <c r="K601" s="525"/>
    </row>
    <row r="602" spans="1:11" s="708" customFormat="1" ht="18.75" x14ac:dyDescent="0.25">
      <c r="A602" s="613"/>
      <c r="B602" s="622"/>
      <c r="C602" s="615" t="s">
        <v>1317</v>
      </c>
      <c r="D602" s="615">
        <v>250000</v>
      </c>
      <c r="E602" s="615">
        <f>1*3</f>
        <v>3</v>
      </c>
      <c r="F602" s="615">
        <v>4</v>
      </c>
      <c r="G602" s="709">
        <f t="shared" si="46"/>
        <v>3000000</v>
      </c>
      <c r="H602" s="534"/>
      <c r="I602" s="525"/>
      <c r="J602" s="525"/>
      <c r="K602" s="525"/>
    </row>
    <row r="603" spans="1:11" s="708" customFormat="1" ht="18.75" x14ac:dyDescent="0.25">
      <c r="A603" s="613"/>
      <c r="B603" s="622"/>
      <c r="C603" s="615" t="s">
        <v>1318</v>
      </c>
      <c r="D603" s="615">
        <v>50000</v>
      </c>
      <c r="E603" s="615">
        <f>1*3</f>
        <v>3</v>
      </c>
      <c r="F603" s="615">
        <v>1</v>
      </c>
      <c r="G603" s="709">
        <f t="shared" si="46"/>
        <v>150000</v>
      </c>
      <c r="H603" s="534"/>
      <c r="I603" s="525"/>
      <c r="J603" s="525"/>
      <c r="K603" s="525"/>
    </row>
    <row r="604" spans="1:11" s="708" customFormat="1" ht="37.5" x14ac:dyDescent="0.25">
      <c r="A604" s="613"/>
      <c r="B604" s="614"/>
      <c r="C604" s="627" t="s">
        <v>1319</v>
      </c>
      <c r="D604" s="615">
        <v>250000</v>
      </c>
      <c r="E604" s="615">
        <f>4*8</f>
        <v>32</v>
      </c>
      <c r="F604" s="615">
        <v>3</v>
      </c>
      <c r="G604" s="709">
        <f t="shared" si="46"/>
        <v>24000000</v>
      </c>
      <c r="H604" s="534"/>
      <c r="I604" s="525"/>
      <c r="J604" s="525"/>
      <c r="K604" s="525"/>
    </row>
    <row r="605" spans="1:11" s="708" customFormat="1" ht="37.5" x14ac:dyDescent="0.25">
      <c r="A605" s="613"/>
      <c r="B605" s="614"/>
      <c r="C605" s="627" t="s">
        <v>1320</v>
      </c>
      <c r="D605" s="615">
        <v>50000</v>
      </c>
      <c r="E605" s="615">
        <f>4*8</f>
        <v>32</v>
      </c>
      <c r="F605" s="615">
        <v>1</v>
      </c>
      <c r="G605" s="709">
        <f t="shared" si="46"/>
        <v>1600000</v>
      </c>
      <c r="H605" s="534"/>
      <c r="I605" s="525"/>
      <c r="J605" s="525"/>
      <c r="K605" s="525"/>
    </row>
    <row r="606" spans="1:11" s="708" customFormat="1" ht="37.5" x14ac:dyDescent="0.25">
      <c r="A606" s="613"/>
      <c r="B606" s="622"/>
      <c r="C606" s="618" t="s">
        <v>1321</v>
      </c>
      <c r="D606" s="615">
        <v>250000</v>
      </c>
      <c r="E606" s="615">
        <f>1*8</f>
        <v>8</v>
      </c>
      <c r="F606" s="615">
        <v>3</v>
      </c>
      <c r="G606" s="709">
        <f t="shared" si="46"/>
        <v>6000000</v>
      </c>
      <c r="H606" s="534"/>
      <c r="I606" s="525"/>
      <c r="J606" s="525"/>
      <c r="K606" s="525"/>
    </row>
    <row r="607" spans="1:11" s="708" customFormat="1" ht="37.5" x14ac:dyDescent="0.25">
      <c r="A607" s="613"/>
      <c r="B607" s="622"/>
      <c r="C607" s="618" t="s">
        <v>1322</v>
      </c>
      <c r="D607" s="615">
        <v>50000</v>
      </c>
      <c r="E607" s="615">
        <f>1*8</f>
        <v>8</v>
      </c>
      <c r="F607" s="615">
        <v>1</v>
      </c>
      <c r="G607" s="709">
        <f t="shared" si="46"/>
        <v>400000</v>
      </c>
      <c r="H607" s="534"/>
      <c r="I607" s="525"/>
      <c r="J607" s="525"/>
      <c r="K607" s="525"/>
    </row>
    <row r="608" spans="1:11" s="708" customFormat="1" ht="18.75" x14ac:dyDescent="0.25">
      <c r="A608" s="613"/>
      <c r="B608" s="614"/>
      <c r="C608" s="615" t="s">
        <v>420</v>
      </c>
      <c r="D608" s="615"/>
      <c r="E608" s="615">
        <v>4</v>
      </c>
      <c r="F608" s="615"/>
      <c r="G608" s="709">
        <f t="shared" si="46"/>
        <v>0</v>
      </c>
      <c r="H608" s="534"/>
      <c r="I608" s="525"/>
      <c r="J608" s="525"/>
      <c r="K608" s="525"/>
    </row>
    <row r="609" spans="1:11" s="708" customFormat="1" ht="37.5" x14ac:dyDescent="0.25">
      <c r="A609" s="613"/>
      <c r="B609" s="614"/>
      <c r="C609" s="627" t="s">
        <v>421</v>
      </c>
      <c r="D609" s="615">
        <v>35000</v>
      </c>
      <c r="E609" s="615">
        <v>4</v>
      </c>
      <c r="F609" s="615">
        <v>2</v>
      </c>
      <c r="G609" s="709">
        <f t="shared" si="46"/>
        <v>280000</v>
      </c>
      <c r="H609" s="534"/>
      <c r="I609" s="525"/>
      <c r="J609" s="525"/>
      <c r="K609" s="525"/>
    </row>
    <row r="610" spans="1:11" s="713" customFormat="1" ht="75" x14ac:dyDescent="0.25">
      <c r="A610" s="613"/>
      <c r="B610" s="614"/>
      <c r="C610" s="627" t="s">
        <v>1323</v>
      </c>
      <c r="D610" s="615">
        <f>7000*11</f>
        <v>77000</v>
      </c>
      <c r="E610" s="615">
        <v>12</v>
      </c>
      <c r="F610" s="615">
        <v>2</v>
      </c>
      <c r="G610" s="709">
        <f t="shared" si="46"/>
        <v>1848000</v>
      </c>
      <c r="H610" s="711"/>
      <c r="I610" s="712"/>
      <c r="J610" s="712"/>
      <c r="K610" s="712"/>
    </row>
    <row r="611" spans="1:11" s="713" customFormat="1" ht="18.75" x14ac:dyDescent="0.25">
      <c r="A611" s="613"/>
      <c r="B611" s="614"/>
      <c r="C611" s="615" t="s">
        <v>1324</v>
      </c>
      <c r="D611" s="615">
        <f>7000*11</f>
        <v>77000</v>
      </c>
      <c r="E611" s="615">
        <v>1</v>
      </c>
      <c r="F611" s="615">
        <v>2</v>
      </c>
      <c r="G611" s="709">
        <f t="shared" si="46"/>
        <v>154000</v>
      </c>
      <c r="H611" s="711"/>
      <c r="I611" s="712"/>
      <c r="J611" s="712"/>
      <c r="K611" s="712"/>
    </row>
    <row r="612" spans="1:11" s="708" customFormat="1" ht="18.75" x14ac:dyDescent="0.25">
      <c r="A612" s="613"/>
      <c r="B612" s="614"/>
      <c r="C612" s="615" t="s">
        <v>428</v>
      </c>
      <c r="D612" s="615">
        <v>7500</v>
      </c>
      <c r="E612" s="615">
        <f>837/6</f>
        <v>139.5</v>
      </c>
      <c r="F612" s="615">
        <v>2</v>
      </c>
      <c r="G612" s="709">
        <f t="shared" si="46"/>
        <v>2092500</v>
      </c>
      <c r="H612" s="534"/>
      <c r="I612" s="525"/>
      <c r="J612" s="525"/>
      <c r="K612" s="525"/>
    </row>
    <row r="613" spans="1:11" s="708" customFormat="1" ht="18.75" x14ac:dyDescent="0.25">
      <c r="A613" s="613"/>
      <c r="B613" s="614"/>
      <c r="C613" s="615" t="s">
        <v>429</v>
      </c>
      <c r="D613" s="615">
        <v>7500</v>
      </c>
      <c r="E613" s="615">
        <f>760/6</f>
        <v>126.66666666666667</v>
      </c>
      <c r="F613" s="615">
        <v>2</v>
      </c>
      <c r="G613" s="709">
        <f t="shared" si="46"/>
        <v>1900000</v>
      </c>
      <c r="H613" s="534"/>
      <c r="I613" s="525"/>
      <c r="J613" s="525"/>
      <c r="K613" s="525"/>
    </row>
    <row r="614" spans="1:11" s="708" customFormat="1" ht="18.75" x14ac:dyDescent="0.25">
      <c r="A614" s="613"/>
      <c r="B614" s="614"/>
      <c r="C614" s="615" t="s">
        <v>430</v>
      </c>
      <c r="D614" s="615">
        <v>7500</v>
      </c>
      <c r="E614" s="615">
        <f>643/6</f>
        <v>107.16666666666667</v>
      </c>
      <c r="F614" s="615">
        <v>2</v>
      </c>
      <c r="G614" s="709">
        <f t="shared" si="46"/>
        <v>1607500</v>
      </c>
      <c r="H614" s="534"/>
      <c r="I614" s="525"/>
      <c r="J614" s="525"/>
      <c r="K614" s="525"/>
    </row>
    <row r="615" spans="1:11" s="708" customFormat="1" ht="18.75" x14ac:dyDescent="0.25">
      <c r="A615" s="613"/>
      <c r="B615" s="614"/>
      <c r="C615" s="615" t="s">
        <v>431</v>
      </c>
      <c r="D615" s="615">
        <v>7500</v>
      </c>
      <c r="E615" s="615">
        <f>584/6</f>
        <v>97.333333333333329</v>
      </c>
      <c r="F615" s="615">
        <v>2</v>
      </c>
      <c r="G615" s="709">
        <f t="shared" si="46"/>
        <v>1460000</v>
      </c>
      <c r="H615" s="534"/>
      <c r="I615" s="525"/>
      <c r="J615" s="525"/>
      <c r="K615" s="525"/>
    </row>
    <row r="616" spans="1:11" s="708" customFormat="1" ht="18.75" x14ac:dyDescent="0.25">
      <c r="A616" s="613"/>
      <c r="B616" s="614"/>
      <c r="C616" s="615" t="s">
        <v>432</v>
      </c>
      <c r="D616" s="615">
        <v>7500</v>
      </c>
      <c r="E616" s="615">
        <f>973/8</f>
        <v>121.625</v>
      </c>
      <c r="F616" s="615">
        <v>2</v>
      </c>
      <c r="G616" s="709">
        <f t="shared" si="46"/>
        <v>1824375</v>
      </c>
      <c r="H616" s="534"/>
      <c r="I616" s="525"/>
      <c r="J616" s="525"/>
      <c r="K616" s="525"/>
    </row>
    <row r="617" spans="1:11" s="708" customFormat="1" ht="18.75" x14ac:dyDescent="0.25">
      <c r="A617" s="613"/>
      <c r="B617" s="614"/>
      <c r="C617" s="615" t="s">
        <v>433</v>
      </c>
      <c r="D617" s="615">
        <v>7500</v>
      </c>
      <c r="E617" s="615">
        <f>761/8</f>
        <v>95.125</v>
      </c>
      <c r="F617" s="615">
        <v>2</v>
      </c>
      <c r="G617" s="709">
        <f t="shared" si="46"/>
        <v>1426875</v>
      </c>
      <c r="H617" s="534"/>
      <c r="I617" s="525"/>
      <c r="J617" s="525"/>
      <c r="K617" s="525"/>
    </row>
    <row r="618" spans="1:11" s="708" customFormat="1" ht="18.75" x14ac:dyDescent="0.25">
      <c r="A618" s="613"/>
      <c r="B618" s="614"/>
      <c r="C618" s="615" t="s">
        <v>434</v>
      </c>
      <c r="D618" s="615">
        <v>7500</v>
      </c>
      <c r="E618" s="615">
        <f>769/8</f>
        <v>96.125</v>
      </c>
      <c r="F618" s="615">
        <v>2</v>
      </c>
      <c r="G618" s="709">
        <f t="shared" si="46"/>
        <v>1441875</v>
      </c>
      <c r="H618" s="534"/>
      <c r="I618" s="525"/>
      <c r="J618" s="525"/>
      <c r="K618" s="525"/>
    </row>
    <row r="619" spans="1:11" s="708" customFormat="1" ht="18.75" x14ac:dyDescent="0.25">
      <c r="A619" s="613"/>
      <c r="B619" s="614"/>
      <c r="C619" s="615" t="s">
        <v>435</v>
      </c>
      <c r="D619" s="615">
        <v>7500</v>
      </c>
      <c r="E619" s="615">
        <f>900/8</f>
        <v>112.5</v>
      </c>
      <c r="F619" s="615">
        <v>2</v>
      </c>
      <c r="G619" s="709">
        <f t="shared" si="46"/>
        <v>1687500</v>
      </c>
      <c r="H619" s="534"/>
      <c r="I619" s="525"/>
      <c r="J619" s="525"/>
      <c r="K619" s="525"/>
    </row>
    <row r="620" spans="1:11" s="708" customFormat="1" ht="18.75" x14ac:dyDescent="0.25">
      <c r="A620" s="613"/>
      <c r="B620" s="614"/>
      <c r="C620" s="615" t="s">
        <v>436</v>
      </c>
      <c r="D620" s="615">
        <v>7500</v>
      </c>
      <c r="E620" s="615">
        <f>528/6</f>
        <v>88</v>
      </c>
      <c r="F620" s="615">
        <v>2</v>
      </c>
      <c r="G620" s="709">
        <f t="shared" si="46"/>
        <v>1320000</v>
      </c>
      <c r="H620" s="534"/>
      <c r="I620" s="525"/>
      <c r="J620" s="525"/>
      <c r="K620" s="525"/>
    </row>
    <row r="621" spans="1:11" s="708" customFormat="1" ht="18.75" x14ac:dyDescent="0.25">
      <c r="A621" s="613"/>
      <c r="B621" s="614"/>
      <c r="C621" s="615" t="s">
        <v>437</v>
      </c>
      <c r="D621" s="615">
        <v>7500</v>
      </c>
      <c r="E621" s="615">
        <f>331/6</f>
        <v>55.166666666666664</v>
      </c>
      <c r="F621" s="615">
        <v>2</v>
      </c>
      <c r="G621" s="709">
        <f t="shared" si="46"/>
        <v>827500</v>
      </c>
      <c r="H621" s="534"/>
      <c r="I621" s="525"/>
      <c r="J621" s="525"/>
      <c r="K621" s="525"/>
    </row>
    <row r="622" spans="1:11" s="708" customFormat="1" ht="18.75" x14ac:dyDescent="0.25">
      <c r="A622" s="613"/>
      <c r="B622" s="614"/>
      <c r="C622" s="615" t="s">
        <v>438</v>
      </c>
      <c r="D622" s="615">
        <v>7500</v>
      </c>
      <c r="E622" s="615">
        <f>403/6</f>
        <v>67.166666666666671</v>
      </c>
      <c r="F622" s="615">
        <v>2</v>
      </c>
      <c r="G622" s="709">
        <f t="shared" si="46"/>
        <v>1007500.0000000001</v>
      </c>
      <c r="H622" s="534"/>
      <c r="I622" s="525"/>
      <c r="J622" s="525"/>
      <c r="K622" s="525"/>
    </row>
    <row r="623" spans="1:11" s="708" customFormat="1" ht="18.75" x14ac:dyDescent="0.25">
      <c r="A623" s="613"/>
      <c r="B623" s="614"/>
      <c r="C623" s="615" t="s">
        <v>439</v>
      </c>
      <c r="D623" s="615">
        <v>7500</v>
      </c>
      <c r="E623" s="615">
        <f>334/6</f>
        <v>55.666666666666664</v>
      </c>
      <c r="F623" s="615">
        <v>2</v>
      </c>
      <c r="G623" s="709">
        <f t="shared" si="46"/>
        <v>835000</v>
      </c>
      <c r="H623" s="534"/>
      <c r="I623" s="525"/>
      <c r="J623" s="525"/>
      <c r="K623" s="525"/>
    </row>
    <row r="624" spans="1:11" s="708" customFormat="1" ht="18.75" x14ac:dyDescent="0.25">
      <c r="A624" s="613"/>
      <c r="B624" s="614"/>
      <c r="C624" s="615" t="s">
        <v>440</v>
      </c>
      <c r="D624" s="615">
        <v>7500</v>
      </c>
      <c r="E624" s="615">
        <f>341/8</f>
        <v>42.625</v>
      </c>
      <c r="F624" s="615">
        <v>2</v>
      </c>
      <c r="G624" s="709">
        <f t="shared" si="46"/>
        <v>639375</v>
      </c>
      <c r="H624" s="534"/>
      <c r="I624" s="525"/>
      <c r="J624" s="525"/>
      <c r="K624" s="525"/>
    </row>
    <row r="625" spans="1:21" s="708" customFormat="1" ht="18.75" x14ac:dyDescent="0.25">
      <c r="A625" s="613"/>
      <c r="B625" s="614"/>
      <c r="C625" s="615" t="s">
        <v>441</v>
      </c>
      <c r="D625" s="615">
        <v>7500</v>
      </c>
      <c r="E625" s="615">
        <f>236/8</f>
        <v>29.5</v>
      </c>
      <c r="F625" s="615">
        <v>2</v>
      </c>
      <c r="G625" s="709">
        <f t="shared" si="46"/>
        <v>442500</v>
      </c>
      <c r="H625" s="534"/>
      <c r="I625" s="525"/>
      <c r="J625" s="525"/>
      <c r="K625" s="525"/>
    </row>
    <row r="626" spans="1:21" s="708" customFormat="1" ht="18.75" x14ac:dyDescent="0.25">
      <c r="A626" s="613"/>
      <c r="B626" s="614"/>
      <c r="C626" s="615" t="s">
        <v>442</v>
      </c>
      <c r="D626" s="615">
        <v>7500</v>
      </c>
      <c r="E626" s="615">
        <f>439/8</f>
        <v>54.875</v>
      </c>
      <c r="F626" s="615">
        <v>2</v>
      </c>
      <c r="G626" s="709">
        <f t="shared" si="46"/>
        <v>823125</v>
      </c>
      <c r="H626" s="534"/>
      <c r="I626" s="525"/>
      <c r="J626" s="525"/>
      <c r="K626" s="525"/>
    </row>
    <row r="627" spans="1:21" s="708" customFormat="1" ht="18.75" x14ac:dyDescent="0.25">
      <c r="A627" s="613"/>
      <c r="B627" s="614"/>
      <c r="C627" s="615" t="s">
        <v>443</v>
      </c>
      <c r="D627" s="615">
        <v>7500</v>
      </c>
      <c r="E627" s="615">
        <f>555/8</f>
        <v>69.375</v>
      </c>
      <c r="F627" s="615">
        <v>2</v>
      </c>
      <c r="G627" s="709">
        <f t="shared" si="46"/>
        <v>1040625</v>
      </c>
      <c r="H627" s="534"/>
      <c r="I627" s="525"/>
      <c r="J627" s="525"/>
      <c r="K627" s="525"/>
    </row>
    <row r="628" spans="1:21" s="708" customFormat="1" ht="18.75" x14ac:dyDescent="0.25">
      <c r="A628" s="613"/>
      <c r="B628" s="614"/>
      <c r="C628" s="615" t="s">
        <v>1325</v>
      </c>
      <c r="D628" s="615">
        <f>7000*11</f>
        <v>77000</v>
      </c>
      <c r="E628" s="615">
        <v>2</v>
      </c>
      <c r="F628" s="615">
        <v>2</v>
      </c>
      <c r="G628" s="709">
        <f t="shared" si="46"/>
        <v>308000</v>
      </c>
      <c r="H628" s="534"/>
      <c r="I628" s="525"/>
      <c r="J628" s="525"/>
      <c r="K628" s="525"/>
    </row>
    <row r="629" spans="1:21" s="708" customFormat="1" ht="18.75" x14ac:dyDescent="0.25">
      <c r="A629" s="613"/>
      <c r="B629" s="614"/>
      <c r="C629" s="615" t="s">
        <v>1326</v>
      </c>
      <c r="D629" s="615">
        <f>7000*10</f>
        <v>70000</v>
      </c>
      <c r="E629" s="615">
        <v>2</v>
      </c>
      <c r="F629" s="615">
        <v>2</v>
      </c>
      <c r="G629" s="709">
        <f t="shared" si="46"/>
        <v>280000</v>
      </c>
      <c r="H629" s="534"/>
      <c r="I629" s="525"/>
      <c r="J629" s="525"/>
      <c r="K629" s="525"/>
    </row>
    <row r="630" spans="1:21" s="708" customFormat="1" ht="18.75" x14ac:dyDescent="0.25">
      <c r="A630" s="613"/>
      <c r="B630" s="614"/>
      <c r="C630" s="618" t="s">
        <v>231</v>
      </c>
      <c r="D630" s="615">
        <v>3000000</v>
      </c>
      <c r="E630" s="615">
        <v>1</v>
      </c>
      <c r="F630" s="615">
        <v>2</v>
      </c>
      <c r="G630" s="709">
        <f>D630*E630*F630</f>
        <v>6000000</v>
      </c>
      <c r="H630" s="534"/>
      <c r="I630" s="525"/>
      <c r="J630" s="525"/>
      <c r="K630" s="525"/>
    </row>
    <row r="631" spans="1:21" s="708" customFormat="1" ht="18.75" x14ac:dyDescent="0.25">
      <c r="A631" s="613"/>
      <c r="B631" s="614"/>
      <c r="C631" s="618" t="s">
        <v>97</v>
      </c>
      <c r="D631" s="615">
        <v>40000</v>
      </c>
      <c r="E631" s="615">
        <f>E578+E580+E584+E588+E592+E596+E600+E604+E608-7</f>
        <v>111</v>
      </c>
      <c r="F631" s="615">
        <v>2</v>
      </c>
      <c r="G631" s="709">
        <f>D631*E631*F631</f>
        <v>8880000</v>
      </c>
      <c r="H631" s="534"/>
      <c r="I631" s="525"/>
      <c r="J631" s="525"/>
      <c r="K631" s="525"/>
    </row>
    <row r="632" spans="1:21" s="708" customFormat="1" ht="18.75" x14ac:dyDescent="0.25">
      <c r="A632" s="613"/>
      <c r="B632" s="614"/>
      <c r="C632" s="615" t="s">
        <v>60</v>
      </c>
      <c r="D632" s="615">
        <v>20000</v>
      </c>
      <c r="E632" s="615">
        <f>E631</f>
        <v>111</v>
      </c>
      <c r="F632" s="615">
        <v>1</v>
      </c>
      <c r="G632" s="709">
        <f t="shared" ref="G632" si="47">D632*E632*F632</f>
        <v>2220000</v>
      </c>
      <c r="H632" s="534"/>
      <c r="I632" s="525"/>
      <c r="J632" s="525"/>
      <c r="K632" s="525"/>
    </row>
    <row r="633" spans="1:21" s="708" customFormat="1" ht="19.5" thickBot="1" x14ac:dyDescent="0.3">
      <c r="A633" s="613"/>
      <c r="B633" s="622"/>
      <c r="C633" s="615"/>
      <c r="D633" s="615"/>
      <c r="E633" s="615"/>
      <c r="F633" s="615"/>
      <c r="G633" s="709"/>
      <c r="H633" s="534"/>
      <c r="I633" s="525"/>
      <c r="J633" s="525"/>
      <c r="K633" s="525"/>
    </row>
    <row r="634" spans="1:21" s="708" customFormat="1" ht="19.5" thickBot="1" x14ac:dyDescent="0.3">
      <c r="A634" s="613"/>
      <c r="B634" s="622"/>
      <c r="C634" s="623" t="s">
        <v>140</v>
      </c>
      <c r="D634" s="623"/>
      <c r="E634" s="623"/>
      <c r="F634" s="623"/>
      <c r="G634" s="714">
        <f>SUM(G577:G633)</f>
        <v>160486250</v>
      </c>
      <c r="H634" s="715">
        <f>G634/$G$1</f>
        <v>19725.448623402164</v>
      </c>
      <c r="I634" s="525"/>
      <c r="J634" s="525"/>
      <c r="K634" s="525"/>
    </row>
    <row r="635" spans="1:21" s="525" customFormat="1" ht="18.75" x14ac:dyDescent="0.25">
      <c r="A635" s="716" t="s">
        <v>757</v>
      </c>
      <c r="B635" s="716" t="s">
        <v>1327</v>
      </c>
      <c r="C635" s="716"/>
      <c r="D635" s="716"/>
      <c r="E635" s="716"/>
      <c r="F635" s="716"/>
      <c r="G635" s="716"/>
      <c r="H635" s="534"/>
    </row>
    <row r="636" spans="1:21" s="721" customFormat="1" ht="18.75" x14ac:dyDescent="0.3">
      <c r="A636" s="717"/>
      <c r="B636" s="717">
        <v>1</v>
      </c>
      <c r="C636" s="718" t="s">
        <v>1328</v>
      </c>
      <c r="D636" s="717"/>
      <c r="E636" s="717"/>
      <c r="F636" s="717"/>
      <c r="G636" s="719">
        <v>148907</v>
      </c>
      <c r="H636" s="720"/>
    </row>
    <row r="637" spans="1:21" s="534" customFormat="1" ht="18.75" x14ac:dyDescent="0.25">
      <c r="A637" s="722"/>
      <c r="B637" s="723">
        <v>2</v>
      </c>
      <c r="C637" s="724" t="s">
        <v>1329</v>
      </c>
      <c r="D637" s="725"/>
      <c r="E637" s="725"/>
      <c r="F637" s="725"/>
      <c r="G637" s="726">
        <v>113913.14</v>
      </c>
      <c r="H637" s="720"/>
      <c r="I637" s="525"/>
      <c r="J637" s="525"/>
      <c r="K637" s="525"/>
      <c r="L637" s="525"/>
      <c r="M637" s="525"/>
      <c r="N637" s="525"/>
      <c r="O637" s="525"/>
      <c r="P637" s="525"/>
      <c r="Q637" s="525"/>
      <c r="R637" s="525"/>
      <c r="S637" s="525"/>
      <c r="T637" s="525"/>
      <c r="U637" s="525"/>
    </row>
    <row r="638" spans="1:21" ht="21" x14ac:dyDescent="0.35">
      <c r="C638" s="727"/>
      <c r="F638" s="728" t="s">
        <v>1330</v>
      </c>
      <c r="G638" s="729">
        <f>G637+G636</f>
        <v>262820.14</v>
      </c>
      <c r="H638" s="730">
        <f>G638</f>
        <v>262820.14</v>
      </c>
    </row>
    <row r="642" spans="7:8" ht="21" x14ac:dyDescent="0.35">
      <c r="G642" s="731" t="s">
        <v>1331</v>
      </c>
      <c r="H642" s="741">
        <f>H638+H634+H575+H573+H328</f>
        <v>547334.46786955092</v>
      </c>
    </row>
    <row r="811" spans="6:8" s="480" customFormat="1" x14ac:dyDescent="0.25">
      <c r="G811" s="732"/>
      <c r="H811" s="733"/>
    </row>
    <row r="812" spans="6:8" s="480" customFormat="1" x14ac:dyDescent="0.25">
      <c r="G812" s="481"/>
    </row>
    <row r="813" spans="6:8" s="480" customFormat="1" ht="23.25" x14ac:dyDescent="0.35">
      <c r="F813" s="781" t="s">
        <v>1332</v>
      </c>
      <c r="G813" s="781"/>
      <c r="H813" s="734" t="e">
        <f>'[1]  2019 '!H1515+'[1]  2019 '!H1512+#REF!+#REF!+H573+#REF!+#REF!</f>
        <v>#REF!</v>
      </c>
    </row>
    <row r="814" spans="6:8" s="480" customFormat="1" x14ac:dyDescent="0.25">
      <c r="G814" s="481"/>
    </row>
    <row r="815" spans="6:8" s="480" customFormat="1" x14ac:dyDescent="0.25">
      <c r="G815" s="481"/>
    </row>
    <row r="816" spans="6:8" s="480" customFormat="1" x14ac:dyDescent="0.25">
      <c r="G816" s="481"/>
    </row>
    <row r="817" spans="4:7" s="480" customFormat="1" ht="23.25" x14ac:dyDescent="0.35">
      <c r="D817" s="706"/>
      <c r="E817" s="735"/>
      <c r="G817" s="481"/>
    </row>
    <row r="818" spans="4:7" s="480" customFormat="1" ht="21" x14ac:dyDescent="0.35">
      <c r="D818" s="736"/>
      <c r="E818" s="736"/>
      <c r="G818" s="481"/>
    </row>
    <row r="819" spans="4:7" s="480" customFormat="1" ht="23.25" x14ac:dyDescent="0.35">
      <c r="D819" s="737"/>
      <c r="E819" s="735"/>
      <c r="G819" s="481"/>
    </row>
    <row r="820" spans="4:7" s="480" customFormat="1" x14ac:dyDescent="0.25">
      <c r="G820" s="481"/>
    </row>
    <row r="821" spans="4:7" s="480" customFormat="1" x14ac:dyDescent="0.25">
      <c r="G821" s="481"/>
    </row>
    <row r="822" spans="4:7" s="480" customFormat="1" x14ac:dyDescent="0.25">
      <c r="G822" s="481"/>
    </row>
    <row r="823" spans="4:7" s="480" customFormat="1" x14ac:dyDescent="0.25">
      <c r="G823" s="481"/>
    </row>
    <row r="824" spans="4:7" s="480" customFormat="1" x14ac:dyDescent="0.25">
      <c r="G824" s="481"/>
    </row>
    <row r="825" spans="4:7" s="480" customFormat="1" x14ac:dyDescent="0.25">
      <c r="G825" s="481"/>
    </row>
    <row r="826" spans="4:7" s="480" customFormat="1" x14ac:dyDescent="0.25">
      <c r="G826" s="481"/>
    </row>
    <row r="827" spans="4:7" s="480" customFormat="1" x14ac:dyDescent="0.25">
      <c r="G827" s="481"/>
    </row>
    <row r="828" spans="4:7" s="480" customFormat="1" x14ac:dyDescent="0.25">
      <c r="G828" s="481"/>
    </row>
    <row r="829" spans="4:7" s="480" customFormat="1" x14ac:dyDescent="0.25">
      <c r="G829" s="481"/>
    </row>
    <row r="830" spans="4:7" s="480" customFormat="1" x14ac:dyDescent="0.25">
      <c r="G830" s="481"/>
    </row>
    <row r="831" spans="4:7" s="480" customFormat="1" x14ac:dyDescent="0.25">
      <c r="G831" s="481"/>
    </row>
    <row r="832" spans="4:7" s="480" customFormat="1" x14ac:dyDescent="0.25">
      <c r="G832" s="481"/>
    </row>
    <row r="833" spans="7:7" s="480" customFormat="1" x14ac:dyDescent="0.25">
      <c r="G833" s="481"/>
    </row>
    <row r="834" spans="7:7" s="480" customFormat="1" x14ac:dyDescent="0.25">
      <c r="G834" s="481"/>
    </row>
    <row r="835" spans="7:7" s="480" customFormat="1" x14ac:dyDescent="0.25">
      <c r="G835" s="481"/>
    </row>
    <row r="836" spans="7:7" s="480" customFormat="1" x14ac:dyDescent="0.25">
      <c r="G836" s="481"/>
    </row>
    <row r="837" spans="7:7" s="480" customFormat="1" x14ac:dyDescent="0.25">
      <c r="G837" s="481"/>
    </row>
    <row r="838" spans="7:7" s="480" customFormat="1" x14ac:dyDescent="0.25">
      <c r="G838" s="481"/>
    </row>
    <row r="839" spans="7:7" s="480" customFormat="1" x14ac:dyDescent="0.25">
      <c r="G839" s="481"/>
    </row>
    <row r="840" spans="7:7" s="480" customFormat="1" x14ac:dyDescent="0.25">
      <c r="G840" s="481"/>
    </row>
    <row r="841" spans="7:7" s="480" customFormat="1" x14ac:dyDescent="0.25">
      <c r="G841" s="481"/>
    </row>
    <row r="842" spans="7:7" s="480" customFormat="1" x14ac:dyDescent="0.25">
      <c r="G842" s="481"/>
    </row>
    <row r="843" spans="7:7" s="480" customFormat="1" x14ac:dyDescent="0.25">
      <c r="G843" s="481"/>
    </row>
    <row r="844" spans="7:7" s="480" customFormat="1" x14ac:dyDescent="0.25">
      <c r="G844" s="481"/>
    </row>
    <row r="845" spans="7:7" s="480" customFormat="1" x14ac:dyDescent="0.25">
      <c r="G845" s="481"/>
    </row>
    <row r="846" spans="7:7" s="480" customFormat="1" x14ac:dyDescent="0.25">
      <c r="G846" s="481"/>
    </row>
    <row r="847" spans="7:7" s="480" customFormat="1" x14ac:dyDescent="0.25">
      <c r="G847" s="481"/>
    </row>
    <row r="848" spans="7:7" s="480" customFormat="1" x14ac:dyDescent="0.25">
      <c r="G848" s="481"/>
    </row>
    <row r="849" spans="1:7" s="480" customFormat="1" x14ac:dyDescent="0.25">
      <c r="G849" s="481"/>
    </row>
    <row r="850" spans="1:7" x14ac:dyDescent="0.25">
      <c r="A850" s="480"/>
      <c r="B850" s="480"/>
      <c r="C850" s="480"/>
      <c r="D850" s="480"/>
      <c r="E850" s="480"/>
      <c r="F850" s="480"/>
      <c r="G850" s="481"/>
    </row>
    <row r="851" spans="1:7" x14ac:dyDescent="0.25">
      <c r="A851" s="480"/>
      <c r="B851" s="480"/>
      <c r="C851" s="480"/>
      <c r="D851" s="480"/>
      <c r="E851" s="480"/>
      <c r="F851" s="480"/>
      <c r="G851" s="481"/>
    </row>
    <row r="852" spans="1:7" x14ac:dyDescent="0.25">
      <c r="A852" s="480"/>
      <c r="B852" s="480"/>
      <c r="C852" s="480"/>
      <c r="D852" s="480"/>
      <c r="E852" s="480"/>
      <c r="F852" s="480"/>
      <c r="G852" s="481"/>
    </row>
    <row r="853" spans="1:7" s="738" customFormat="1" ht="23.25" x14ac:dyDescent="0.35">
      <c r="A853" s="474"/>
      <c r="B853" s="474"/>
      <c r="C853" s="481"/>
      <c r="D853" s="481"/>
      <c r="E853" s="481"/>
      <c r="F853" s="481"/>
      <c r="G853" s="481"/>
    </row>
    <row r="854" spans="1:7" x14ac:dyDescent="0.25">
      <c r="A854" s="480"/>
      <c r="B854" s="480"/>
      <c r="C854" s="480"/>
      <c r="D854" s="480"/>
      <c r="E854" s="480"/>
      <c r="F854" s="480"/>
      <c r="G854" s="481"/>
    </row>
    <row r="855" spans="1:7" x14ac:dyDescent="0.25">
      <c r="A855" s="480"/>
      <c r="B855" s="480"/>
      <c r="C855" s="480"/>
      <c r="D855" s="480"/>
      <c r="E855" s="480"/>
      <c r="F855" s="480"/>
      <c r="G855" s="481"/>
    </row>
    <row r="856" spans="1:7" x14ac:dyDescent="0.25">
      <c r="A856" s="480"/>
      <c r="B856" s="480"/>
      <c r="C856" s="480"/>
      <c r="D856" s="480"/>
      <c r="E856" s="480"/>
      <c r="F856" s="480"/>
      <c r="G856" s="481"/>
    </row>
    <row r="857" spans="1:7" x14ac:dyDescent="0.25">
      <c r="A857" s="480"/>
      <c r="B857" s="480"/>
      <c r="C857" s="480"/>
      <c r="D857" s="480"/>
      <c r="E857" s="480"/>
      <c r="F857" s="480"/>
      <c r="G857" s="481"/>
    </row>
    <row r="858" spans="1:7" x14ac:dyDescent="0.25">
      <c r="A858" s="480"/>
      <c r="B858" s="480"/>
      <c r="C858" s="480"/>
      <c r="D858" s="480"/>
      <c r="E858" s="480"/>
      <c r="F858" s="480"/>
      <c r="G858" s="481"/>
    </row>
    <row r="859" spans="1:7" x14ac:dyDescent="0.25">
      <c r="A859" s="480"/>
      <c r="B859" s="480"/>
      <c r="C859" s="480"/>
      <c r="D859" s="480"/>
      <c r="E859" s="480"/>
      <c r="F859" s="480"/>
      <c r="G859" s="481"/>
    </row>
    <row r="860" spans="1:7" x14ac:dyDescent="0.25">
      <c r="A860" s="480"/>
      <c r="B860" s="480"/>
      <c r="C860" s="480"/>
      <c r="D860" s="480"/>
      <c r="E860" s="480"/>
      <c r="F860" s="480"/>
      <c r="G860" s="481"/>
    </row>
    <row r="861" spans="1:7" x14ac:dyDescent="0.25">
      <c r="A861" s="480"/>
      <c r="B861" s="480"/>
      <c r="C861" s="480"/>
      <c r="D861" s="480"/>
      <c r="E861" s="480"/>
      <c r="F861" s="480"/>
      <c r="G861" s="481"/>
    </row>
    <row r="862" spans="1:7" x14ac:dyDescent="0.25">
      <c r="A862" s="480"/>
      <c r="B862" s="480"/>
      <c r="C862" s="480"/>
      <c r="D862" s="480"/>
      <c r="E862" s="480"/>
      <c r="F862" s="480"/>
      <c r="G862" s="481"/>
    </row>
    <row r="863" spans="1:7" x14ac:dyDescent="0.25">
      <c r="A863" s="480"/>
      <c r="B863" s="480"/>
      <c r="C863" s="480"/>
      <c r="D863" s="480"/>
      <c r="E863" s="480"/>
      <c r="F863" s="480"/>
      <c r="G863" s="481"/>
    </row>
    <row r="864" spans="1:7" x14ac:dyDescent="0.25">
      <c r="A864" s="480"/>
      <c r="B864" s="480"/>
      <c r="C864" s="480"/>
      <c r="D864" s="480"/>
      <c r="E864" s="480"/>
      <c r="F864" s="480"/>
      <c r="G864" s="481"/>
    </row>
    <row r="865" spans="1:7" x14ac:dyDescent="0.25">
      <c r="A865" s="480"/>
      <c r="B865" s="480"/>
      <c r="C865" s="480"/>
      <c r="D865" s="480"/>
      <c r="E865" s="480"/>
      <c r="F865" s="480"/>
      <c r="G865" s="481"/>
    </row>
    <row r="866" spans="1:7" x14ac:dyDescent="0.25">
      <c r="A866" s="480"/>
      <c r="B866" s="480"/>
      <c r="C866" s="480"/>
      <c r="D866" s="480"/>
      <c r="E866" s="480"/>
      <c r="F866" s="480"/>
      <c r="G866" s="481"/>
    </row>
    <row r="867" spans="1:7" x14ac:dyDescent="0.25">
      <c r="A867" s="480"/>
      <c r="B867" s="480"/>
      <c r="C867" s="480"/>
      <c r="D867" s="480"/>
      <c r="E867" s="480"/>
      <c r="F867" s="480"/>
      <c r="G867" s="481"/>
    </row>
    <row r="868" spans="1:7" x14ac:dyDescent="0.25">
      <c r="A868" s="480"/>
      <c r="B868" s="480"/>
      <c r="C868" s="480"/>
      <c r="D868" s="480"/>
      <c r="E868" s="480"/>
      <c r="F868" s="480"/>
      <c r="G868" s="481"/>
    </row>
    <row r="869" spans="1:7" x14ac:dyDescent="0.25">
      <c r="A869" s="480"/>
      <c r="B869" s="480"/>
      <c r="C869" s="480"/>
      <c r="D869" s="480"/>
      <c r="E869" s="480"/>
      <c r="F869" s="480"/>
      <c r="G869" s="481"/>
    </row>
    <row r="870" spans="1:7" x14ac:dyDescent="0.25">
      <c r="A870" s="480"/>
      <c r="B870" s="480"/>
      <c r="C870" s="480"/>
      <c r="D870" s="480"/>
      <c r="E870" s="480"/>
      <c r="F870" s="480"/>
      <c r="G870" s="481"/>
    </row>
    <row r="871" spans="1:7" x14ac:dyDescent="0.25">
      <c r="A871" s="480"/>
      <c r="B871" s="480"/>
      <c r="C871" s="480"/>
      <c r="D871" s="480"/>
      <c r="E871" s="480"/>
      <c r="F871" s="480"/>
      <c r="G871" s="481"/>
    </row>
    <row r="872" spans="1:7" x14ac:dyDescent="0.25">
      <c r="A872" s="480"/>
      <c r="B872" s="480"/>
      <c r="C872" s="480"/>
      <c r="D872" s="480"/>
      <c r="E872" s="480"/>
      <c r="F872" s="480"/>
      <c r="G872" s="481"/>
    </row>
    <row r="873" spans="1:7" x14ac:dyDescent="0.25">
      <c r="A873" s="480"/>
      <c r="B873" s="480"/>
      <c r="C873" s="480"/>
      <c r="D873" s="480"/>
      <c r="E873" s="480"/>
      <c r="F873" s="480"/>
      <c r="G873" s="481"/>
    </row>
    <row r="874" spans="1:7" x14ac:dyDescent="0.25">
      <c r="A874" s="480"/>
      <c r="B874" s="480"/>
      <c r="C874" s="480"/>
      <c r="D874" s="480"/>
      <c r="E874" s="480"/>
      <c r="F874" s="480"/>
      <c r="G874" s="481"/>
    </row>
    <row r="875" spans="1:7" x14ac:dyDescent="0.25">
      <c r="A875" s="480"/>
      <c r="B875" s="480"/>
      <c r="C875" s="480"/>
      <c r="D875" s="480"/>
      <c r="E875" s="480"/>
      <c r="F875" s="480"/>
      <c r="G875" s="481"/>
    </row>
    <row r="876" spans="1:7" x14ac:dyDescent="0.25">
      <c r="A876" s="480"/>
      <c r="B876" s="480"/>
      <c r="C876" s="480"/>
      <c r="D876" s="480"/>
      <c r="E876" s="480"/>
      <c r="F876" s="480"/>
      <c r="G876" s="481"/>
    </row>
    <row r="877" spans="1:7" x14ac:dyDescent="0.25">
      <c r="A877" s="480"/>
      <c r="B877" s="480"/>
      <c r="C877" s="480"/>
      <c r="D877" s="480"/>
      <c r="E877" s="480"/>
      <c r="F877" s="480"/>
      <c r="G877" s="481"/>
    </row>
    <row r="878" spans="1:7" x14ac:dyDescent="0.25">
      <c r="A878" s="480"/>
      <c r="B878" s="480"/>
      <c r="C878" s="480"/>
      <c r="D878" s="480"/>
      <c r="E878" s="480"/>
      <c r="F878" s="480"/>
      <c r="G878" s="481"/>
    </row>
    <row r="879" spans="1:7" x14ac:dyDescent="0.25">
      <c r="A879" s="480"/>
      <c r="B879" s="480"/>
      <c r="C879" s="480"/>
      <c r="D879" s="480"/>
      <c r="E879" s="480"/>
      <c r="F879" s="480"/>
      <c r="G879" s="481"/>
    </row>
    <row r="880" spans="1:7" x14ac:dyDescent="0.25">
      <c r="A880" s="480"/>
      <c r="B880" s="480"/>
      <c r="C880" s="480"/>
      <c r="D880" s="480"/>
      <c r="E880" s="480"/>
      <c r="F880" s="480"/>
      <c r="G880" s="481"/>
    </row>
    <row r="881" spans="1:7" x14ac:dyDescent="0.25">
      <c r="A881" s="480"/>
      <c r="B881" s="480"/>
      <c r="C881" s="480"/>
      <c r="D881" s="480"/>
      <c r="E881" s="480"/>
      <c r="F881" s="480"/>
      <c r="G881" s="481"/>
    </row>
    <row r="882" spans="1:7" x14ac:dyDescent="0.25">
      <c r="A882" s="480"/>
      <c r="B882" s="480"/>
      <c r="C882" s="480"/>
      <c r="D882" s="480"/>
      <c r="E882" s="480"/>
      <c r="F882" s="480"/>
      <c r="G882" s="481"/>
    </row>
    <row r="883" spans="1:7" x14ac:dyDescent="0.25">
      <c r="A883" s="480"/>
      <c r="B883" s="480"/>
      <c r="C883" s="480"/>
      <c r="D883" s="480"/>
      <c r="E883" s="480"/>
      <c r="F883" s="480"/>
      <c r="G883" s="481"/>
    </row>
    <row r="884" spans="1:7" x14ac:dyDescent="0.25">
      <c r="A884" s="480"/>
      <c r="B884" s="480"/>
      <c r="C884" s="480"/>
      <c r="D884" s="480"/>
      <c r="E884" s="480"/>
      <c r="F884" s="480"/>
      <c r="G884" s="481"/>
    </row>
    <row r="885" spans="1:7" x14ac:dyDescent="0.25">
      <c r="A885" s="480"/>
      <c r="B885" s="480"/>
      <c r="C885" s="480"/>
      <c r="D885" s="480"/>
      <c r="E885" s="480"/>
      <c r="F885" s="480"/>
      <c r="G885" s="481"/>
    </row>
    <row r="886" spans="1:7" x14ac:dyDescent="0.25">
      <c r="A886" s="480"/>
      <c r="B886" s="480"/>
      <c r="C886" s="480"/>
      <c r="D886" s="480"/>
      <c r="E886" s="480"/>
      <c r="F886" s="480"/>
      <c r="G886" s="481"/>
    </row>
    <row r="887" spans="1:7" x14ac:dyDescent="0.25">
      <c r="A887" s="480"/>
      <c r="B887" s="480"/>
      <c r="C887" s="480"/>
      <c r="D887" s="480"/>
      <c r="E887" s="480"/>
      <c r="F887" s="480"/>
      <c r="G887" s="481"/>
    </row>
    <row r="888" spans="1:7" x14ac:dyDescent="0.25">
      <c r="A888" s="480"/>
      <c r="B888" s="480"/>
      <c r="C888" s="480"/>
      <c r="D888" s="480"/>
      <c r="E888" s="480"/>
      <c r="F888" s="480"/>
      <c r="G888" s="481"/>
    </row>
    <row r="889" spans="1:7" x14ac:dyDescent="0.25">
      <c r="A889" s="480"/>
      <c r="B889" s="480"/>
      <c r="C889" s="480"/>
      <c r="D889" s="480"/>
      <c r="E889" s="480"/>
      <c r="F889" s="480"/>
      <c r="G889" s="481"/>
    </row>
    <row r="890" spans="1:7" x14ac:dyDescent="0.25">
      <c r="A890" s="480"/>
      <c r="B890" s="480"/>
      <c r="C890" s="480"/>
      <c r="D890" s="480"/>
      <c r="E890" s="480"/>
      <c r="F890" s="480"/>
      <c r="G890" s="481"/>
    </row>
    <row r="891" spans="1:7" x14ac:dyDescent="0.25">
      <c r="A891" s="480"/>
      <c r="B891" s="480"/>
      <c r="C891" s="480"/>
      <c r="D891" s="480"/>
      <c r="E891" s="480"/>
      <c r="F891" s="480"/>
      <c r="G891" s="481"/>
    </row>
    <row r="892" spans="1:7" x14ac:dyDescent="0.25">
      <c r="A892" s="480"/>
      <c r="B892" s="480"/>
      <c r="C892" s="480"/>
      <c r="D892" s="480"/>
      <c r="E892" s="480"/>
      <c r="F892" s="480"/>
      <c r="G892" s="481"/>
    </row>
    <row r="893" spans="1:7" x14ac:dyDescent="0.25">
      <c r="A893" s="480"/>
      <c r="B893" s="480"/>
      <c r="C893" s="480"/>
      <c r="D893" s="480"/>
      <c r="E893" s="480"/>
      <c r="F893" s="480"/>
      <c r="G893" s="481"/>
    </row>
    <row r="894" spans="1:7" x14ac:dyDescent="0.25">
      <c r="A894" s="480"/>
      <c r="B894" s="480"/>
      <c r="C894" s="480"/>
      <c r="D894" s="480"/>
      <c r="E894" s="480"/>
      <c r="F894" s="480"/>
      <c r="G894" s="481"/>
    </row>
  </sheetData>
  <mergeCells count="7">
    <mergeCell ref="F813:G813"/>
    <mergeCell ref="A330:G330"/>
    <mergeCell ref="B331:G331"/>
    <mergeCell ref="B332:G332"/>
    <mergeCell ref="A573:D573"/>
    <mergeCell ref="E573:F573"/>
    <mergeCell ref="B577:B58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</vt:lpstr>
      <vt:lpstr>Budget detail (2018)</vt:lpstr>
      <vt:lpstr>Budget detail (2019)</vt:lpstr>
      <vt:lpstr>Budget detail (2020)</vt:lpstr>
      <vt:lpstr>Sum!Print_Titles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chanmy</dc:creator>
  <cp:lastModifiedBy>dell</cp:lastModifiedBy>
  <cp:lastPrinted>2017-06-23T07:53:33Z</cp:lastPrinted>
  <dcterms:created xsi:type="dcterms:W3CDTF">2017-06-14T09:12:34Z</dcterms:created>
  <dcterms:modified xsi:type="dcterms:W3CDTF">2017-08-25T10:52:20Z</dcterms:modified>
</cp:coreProperties>
</file>