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showInkAnnotation="0" updateLinks="never" codeName="ThisWorkbook" defaultThemeVersion="124226"/>
  <mc:AlternateContent xmlns:mc="http://schemas.openxmlformats.org/markup-compatibility/2006">
    <mc:Choice Requires="x15">
      <x15ac:absPath xmlns:x15ac="http://schemas.microsoft.com/office/spreadsheetml/2010/11/ac" url="E:\KL DOCUMENT\GFATM\CCM\CCM\CCM Funding\CCM Budget 2020-2022\Year 3\"/>
    </mc:Choice>
  </mc:AlternateContent>
  <xr:revisionPtr revIDLastSave="0" documentId="13_ncr:1_{F66F2CED-1C58-45CB-B7EA-F74B221C7312}" xr6:coauthVersionLast="47" xr6:coauthVersionMax="47" xr10:uidLastSave="{00000000-0000-0000-0000-000000000000}"/>
  <bookViews>
    <workbookView xWindow="-120" yWindow="-120" windowWidth="20730" windowHeight="11160" tabRatio="545" firstSheet="1" activeTab="4" xr2:uid="{00000000-000D-0000-FFFF-FFFF00000000}"/>
  </bookViews>
  <sheets>
    <sheet name="EN_EvolutionThreshold_Transfer" sheetId="77" state="hidden" r:id="rId1"/>
    <sheet name="EN_Progress_Results" sheetId="57" r:id="rId2"/>
    <sheet name="Progress_Results_Strategy" sheetId="72" state="hidden" r:id="rId3"/>
    <sheet name="EN_PF_QualitativeBaseline" sheetId="68" r:id="rId4"/>
    <sheet name="EN_PF_Year3" sheetId="62" r:id="rId5"/>
    <sheet name="EN_PF_YearY" sheetId="63" state="hidden" r:id="rId6"/>
    <sheet name="EN_PF_YearZ" sheetId="64" state="hidden" r:id="rId7"/>
    <sheet name="EN_PF_DROPDOWN" sheetId="54" state="hidden" r:id="rId8"/>
    <sheet name="List_CCM_Names" sheetId="30" state="hidden" r:id="rId9"/>
    <sheet name="Data_Extraction_Table_1" sheetId="71" state="hidden" r:id="rId10"/>
    <sheet name="Data_Extraction_Table_2" sheetId="74"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4" hidden="1">EN_PF_Year3!$B$25:$M$25</definedName>
    <definedName name="_xlnm._FilterDatabase" localSheetId="5" hidden="1">EN_PF_YearY!$B$25:$M$25</definedName>
    <definedName name="_xlnm._FilterDatabase" localSheetId="6" hidden="1">EN_PF_YearZ!$B$25:$M$25</definedName>
    <definedName name="adminfee">'[1]Range Page'!$A$38</definedName>
    <definedName name="Age" localSheetId="0">#REF!</definedName>
    <definedName name="Age">#REF!</definedName>
    <definedName name="AgreementNumber">[2]Menu!$B$8</definedName>
    <definedName name="ALLTAANDCOSTEDACTIVITIESENGAGEMENT">Table61712[[#All],[All TA &amp; costed activities Engagement]]</definedName>
    <definedName name="ALLTAANDCOSTEDACTIVITIESOPERATIONS">Table617131516[[#All],[All TA &amp; costed activities Operations]]</definedName>
    <definedName name="ALLTAANDCOSTEDACTIVITIESOVERSIGHT">Table516[[#All],[All TA and costed activities Oversight]]</definedName>
    <definedName name="ALLTAANDCOSTEDACTIVITIESPOSITIONING">Table6171314[[#All],[All TA &amp; costed activities Positioning]]</definedName>
    <definedName name="AreaAbbreviation">[2]Data!$C$3:$D$6</definedName>
    <definedName name="AreaPerAbreviation">[2]Data!$C$9:$D$13</definedName>
    <definedName name="Areas" localSheetId="9">Table1[Areas]</definedName>
    <definedName name="Areas" localSheetId="10">Table1[Areas]</definedName>
    <definedName name="Areas" localSheetId="0">#REF!</definedName>
    <definedName name="Areas" localSheetId="3">Table1[Areas]</definedName>
    <definedName name="Areas" localSheetId="2">Table1[Areas]</definedName>
    <definedName name="Areas">Table1[Areas]</definedName>
    <definedName name="AssistanceTechniqueuniquementFonctionnement">#REF!</definedName>
    <definedName name="AssistanceTechniqueuniquementParticipation">#REF!</definedName>
    <definedName name="AssistanceTechniqueuniquementPositionnement">#REF!</definedName>
    <definedName name="AssistanceTechniqueuniquementSuivistratégique">#REF!</definedName>
    <definedName name="AssumptionList">[3]Assumptions!$A$2:$A$50</definedName>
    <definedName name="CaseDefenition" localSheetId="0">#REF!</definedName>
    <definedName name="CaseDefenition">#REF!</definedName>
    <definedName name="CCM">[2]Menu!$B$7</definedName>
    <definedName name="CCMEVOLUTIONOPERATIONSEXTERNALPROFESSIONALSERVICES" localSheetId="0">#REF!</definedName>
    <definedName name="CCMEVOLUTIONOPERATIONSEXTERNALPROFESSIONALSERVICES" localSheetId="3">#REF!</definedName>
    <definedName name="CCMEVOLUTIONOPERATIONSEXTERNALPROFESSIONALSERVICES" localSheetId="4">#REF!</definedName>
    <definedName name="CCMEVOLUTIONOPERATIONSEXTERNALPROFESSIONALSERVICES" localSheetId="5">#REF!</definedName>
    <definedName name="CCMEVOLUTIONOPERATIONSEXTERNALPROFESSIONALSERVICES" localSheetId="6">#REF!</definedName>
    <definedName name="CCMEVOLUTIONOPERATIONSEXTERNALPROFESSIONALSERVICES" localSheetId="1">#REF!</definedName>
    <definedName name="CCMEVOLUTIONOPERATIONSEXTERNALPROFESSIONALSERVICES" localSheetId="2">#REF!</definedName>
    <definedName name="CCMEVOLUTIONOPERATIONSEXTERNALPROFESSIONALSERVICES">#REF!</definedName>
    <definedName name="CCMEVOLUTIONOPERATIONSTRAVELRELATEDCOSTS" localSheetId="0">#REF!</definedName>
    <definedName name="CCMEVOLUTIONOPERATIONSTRAVELRELATEDCOSTS" localSheetId="3">#REF!</definedName>
    <definedName name="CCMEVOLUTIONOPERATIONSTRAVELRELATEDCOSTS" localSheetId="4">#REF!</definedName>
    <definedName name="CCMEVOLUTIONOPERATIONSTRAVELRELATEDCOSTS" localSheetId="5">#REF!</definedName>
    <definedName name="CCMEVOLUTIONOPERATIONSTRAVELRELATEDCOSTS" localSheetId="6">#REF!</definedName>
    <definedName name="CCMEVOLUTIONOPERATIONSTRAVELRELATEDCOSTS" localSheetId="1">#REF!</definedName>
    <definedName name="CCMEVOLUTIONOPERATIONSTRAVELRELATEDCOSTS" localSheetId="2">#REF!</definedName>
    <definedName name="CCMEVOLUTIONOPERATIONSTRAVELRELATEDCOSTS">#REF!</definedName>
    <definedName name="CCMEVOLUTIONOVERSIGHT" localSheetId="0">#REF!</definedName>
    <definedName name="CCMEVOLUTIONOVERSIGHT" localSheetId="3">#REF!</definedName>
    <definedName name="CCMEVOLUTIONOVERSIGHT" localSheetId="4">#REF!</definedName>
    <definedName name="CCMEVOLUTIONOVERSIGHT" localSheetId="5">#REF!</definedName>
    <definedName name="CCMEVOLUTIONOVERSIGHT" localSheetId="6">#REF!</definedName>
    <definedName name="CCMEVOLUTIONOVERSIGHT" localSheetId="1">#REF!</definedName>
    <definedName name="CCMEVOLUTIONOVERSIGHT" localSheetId="2">#REF!</definedName>
    <definedName name="CCMEVOLUTIONOVERSIGHT">#REF!</definedName>
    <definedName name="CCMEVOLUTIONOVERSIGHTEXTERNALPROFESSIONALSERVICES" localSheetId="0">#REF!</definedName>
    <definedName name="CCMEVOLUTIONOVERSIGHTEXTERNALPROFESSIONALSERVICES" localSheetId="3">#REF!</definedName>
    <definedName name="CCMEVOLUTIONOVERSIGHTEXTERNALPROFESSIONALSERVICES" localSheetId="4">#REF!</definedName>
    <definedName name="CCMEVOLUTIONOVERSIGHTEXTERNALPROFESSIONALSERVICES" localSheetId="5">#REF!</definedName>
    <definedName name="CCMEVOLUTIONOVERSIGHTEXTERNALPROFESSIONALSERVICES" localSheetId="6">#REF!</definedName>
    <definedName name="CCMEVOLUTIONOVERSIGHTEXTERNALPROFESSIONALSERVICES" localSheetId="1">#REF!</definedName>
    <definedName name="CCMEVOLUTIONOVERSIGHTEXTERNALPROFESSIONALSERVICES" localSheetId="2">#REF!</definedName>
    <definedName name="CCMEVOLUTIONOVERSIGHTEXTERNALPROFESSIONALSERVICES">#REF!</definedName>
    <definedName name="CCMEVOLUTIONOVERSIGHTHUMANRESOURCES" localSheetId="0">#REF!</definedName>
    <definedName name="CCMEVOLUTIONOVERSIGHTHUMANRESOURCES" localSheetId="3">#REF!</definedName>
    <definedName name="CCMEVOLUTIONOVERSIGHTHUMANRESOURCES" localSheetId="4">#REF!</definedName>
    <definedName name="CCMEVOLUTIONOVERSIGHTHUMANRESOURCES" localSheetId="5">#REF!</definedName>
    <definedName name="CCMEVOLUTIONOVERSIGHTHUMANRESOURCES" localSheetId="6">#REF!</definedName>
    <definedName name="CCMEVOLUTIONOVERSIGHTHUMANRESOURCES" localSheetId="1">#REF!</definedName>
    <definedName name="CCMEVOLUTIONOVERSIGHTHUMANRESOURCES" localSheetId="2">#REF!</definedName>
    <definedName name="CCMEVOLUTIONOVERSIGHTHUMANRESOURCES">#REF!</definedName>
    <definedName name="CCMEVOLUTIONOVERSIGHTNONHEALTHEQUIPMENT" localSheetId="0">#REF!</definedName>
    <definedName name="CCMEVOLUTIONOVERSIGHTNONHEALTHEQUIPMENT" localSheetId="3">#REF!</definedName>
    <definedName name="CCMEVOLUTIONOVERSIGHTNONHEALTHEQUIPMENT" localSheetId="4">#REF!</definedName>
    <definedName name="CCMEVOLUTIONOVERSIGHTNONHEALTHEQUIPMENT" localSheetId="5">#REF!</definedName>
    <definedName name="CCMEVOLUTIONOVERSIGHTNONHEALTHEQUIPMENT" localSheetId="6">#REF!</definedName>
    <definedName name="CCMEVOLUTIONOVERSIGHTNONHEALTHEQUIPMENT" localSheetId="1">#REF!</definedName>
    <definedName name="CCMEVOLUTIONOVERSIGHTNONHEALTHEQUIPMENT" localSheetId="2">#REF!</definedName>
    <definedName name="CCMEVOLUTIONOVERSIGHTNONHEALTHEQUIPMENT">#REF!</definedName>
    <definedName name="CCMEVOLUTIONOVERSIGHTTRAVELRELATEDCOSTS" localSheetId="0">#REF!</definedName>
    <definedName name="CCMEVOLUTIONOVERSIGHTTRAVELRELATEDCOSTS" localSheetId="3">#REF!</definedName>
    <definedName name="CCMEVOLUTIONOVERSIGHTTRAVELRELATEDCOSTS" localSheetId="4">#REF!</definedName>
    <definedName name="CCMEVOLUTIONOVERSIGHTTRAVELRELATEDCOSTS" localSheetId="5">#REF!</definedName>
    <definedName name="CCMEVOLUTIONOVERSIGHTTRAVELRELATEDCOSTS" localSheetId="6">#REF!</definedName>
    <definedName name="CCMEVOLUTIONOVERSIGHTTRAVELRELATEDCOSTS" localSheetId="1">#REF!</definedName>
    <definedName name="CCMEVOLUTIONOVERSIGHTTRAVELRELATEDCOSTS" localSheetId="2">#REF!</definedName>
    <definedName name="CCMEVOLUTIONOVERSIGHTTRAVELRELATEDCOSTS">#REF!</definedName>
    <definedName name="ccmevolutionpositioning" localSheetId="0">#REF!</definedName>
    <definedName name="ccmevolutionpositioning" localSheetId="3">#REF!</definedName>
    <definedName name="ccmevolutionpositioning" localSheetId="4">#REF!</definedName>
    <definedName name="ccmevolutionpositioning" localSheetId="5">#REF!</definedName>
    <definedName name="ccmevolutionpositioning" localSheetId="6">#REF!</definedName>
    <definedName name="ccmevolutionpositioning" localSheetId="1">#REF!</definedName>
    <definedName name="ccmevolutionpositioning" localSheetId="2">#REF!</definedName>
    <definedName name="ccmevolutionpositioning">#REF!</definedName>
    <definedName name="CCMEVOLUTIONPOSITIONINGCOMMUNICATIONMATERIALANDPUBLICATIONS" localSheetId="0">#REF!</definedName>
    <definedName name="CCMEVOLUTIONPOSITIONINGCOMMUNICATIONMATERIALANDPUBLICATIONS" localSheetId="3">#REF!</definedName>
    <definedName name="CCMEVOLUTIONPOSITIONINGCOMMUNICATIONMATERIALANDPUBLICATIONS" localSheetId="4">#REF!</definedName>
    <definedName name="CCMEVOLUTIONPOSITIONINGCOMMUNICATIONMATERIALANDPUBLICATIONS" localSheetId="5">#REF!</definedName>
    <definedName name="CCMEVOLUTIONPOSITIONINGCOMMUNICATIONMATERIALANDPUBLICATIONS" localSheetId="6">#REF!</definedName>
    <definedName name="CCMEVOLUTIONPOSITIONINGCOMMUNICATIONMATERIALANDPUBLICATIONS" localSheetId="1">#REF!</definedName>
    <definedName name="CCMEVOLUTIONPOSITIONINGCOMMUNICATIONMATERIALANDPUBLICATIONS" localSheetId="2">#REF!</definedName>
    <definedName name="CCMEVOLUTIONPOSITIONINGCOMMUNICATIONMATERIALANDPUBLICATIONS">#REF!</definedName>
    <definedName name="CCMEVOLUTIONPOSITIONINGEXTERNALPROFESSIONALSERVICES" localSheetId="0">#REF!</definedName>
    <definedName name="CCMEVOLUTIONPOSITIONINGEXTERNALPROFESSIONALSERVICES" localSheetId="3">#REF!</definedName>
    <definedName name="CCMEVOLUTIONPOSITIONINGEXTERNALPROFESSIONALSERVICES" localSheetId="4">#REF!</definedName>
    <definedName name="CCMEVOLUTIONPOSITIONINGEXTERNALPROFESSIONALSERVICES" localSheetId="5">#REF!</definedName>
    <definedName name="CCMEVOLUTIONPOSITIONINGEXTERNALPROFESSIONALSERVICES" localSheetId="6">#REF!</definedName>
    <definedName name="CCMEVOLUTIONPOSITIONINGEXTERNALPROFESSIONALSERVICES" localSheetId="1">#REF!</definedName>
    <definedName name="CCMEVOLUTIONPOSITIONINGEXTERNALPROFESSIONALSERVICES" localSheetId="2">#REF!</definedName>
    <definedName name="CCMEVOLUTIONPOSITIONINGEXTERNALPROFESSIONALSERVICES">#REF!</definedName>
    <definedName name="CCMEVOLUTIONPOSITIONINGTRAVELRELATEDCOSTS" localSheetId="0">#REF!</definedName>
    <definedName name="CCMEVOLUTIONPOSITIONINGTRAVELRELATEDCOSTS" localSheetId="3">#REF!</definedName>
    <definedName name="CCMEVOLUTIONPOSITIONINGTRAVELRELATEDCOSTS" localSheetId="4">#REF!</definedName>
    <definedName name="CCMEVOLUTIONPOSITIONINGTRAVELRELATEDCOSTS" localSheetId="5">#REF!</definedName>
    <definedName name="CCMEVOLUTIONPOSITIONINGTRAVELRELATEDCOSTS" localSheetId="6">#REF!</definedName>
    <definedName name="CCMEVOLUTIONPOSITIONINGTRAVELRELATEDCOSTS" localSheetId="1">#REF!</definedName>
    <definedName name="CCMEVOLUTIONPOSITIONINGTRAVELRELATEDCOSTS" localSheetId="2">#REF!</definedName>
    <definedName name="CCMEVOLUTIONPOSITIONINGTRAVELRELATEDCOSTS">#REF!</definedName>
    <definedName name="CCMFundingAgreement" localSheetId="0">#REF!</definedName>
    <definedName name="CCMFundingAgreement" localSheetId="3">#REF!</definedName>
    <definedName name="CCMFundingAgreement" localSheetId="4">#REF!</definedName>
    <definedName name="CCMFundingAgreement" localSheetId="5">#REF!</definedName>
    <definedName name="CCMFundingAgreement" localSheetId="6">#REF!</definedName>
    <definedName name="CCMFundingAgreement" localSheetId="1">#REF!</definedName>
    <definedName name="CCMFundingAgreement" localSheetId="2">#REF!</definedName>
    <definedName name="CCMFundingAgreement">#REF!</definedName>
    <definedName name="CCMFUNDINGAGREEMENTENGAGEMENT" localSheetId="0">#REF!</definedName>
    <definedName name="CCMFUNDINGAGREEMENTENGAGEMENT" localSheetId="3">#REF!</definedName>
    <definedName name="CCMFUNDINGAGREEMENTENGAGEMENT" localSheetId="4">#REF!</definedName>
    <definedName name="CCMFUNDINGAGREEMENTENGAGEMENT" localSheetId="5">#REF!</definedName>
    <definedName name="CCMFUNDINGAGREEMENTENGAGEMENT" localSheetId="6">#REF!</definedName>
    <definedName name="CCMFUNDINGAGREEMENTENGAGEMENT" localSheetId="1">#REF!</definedName>
    <definedName name="CCMFUNDINGAGREEMENTENGAGEMENT" localSheetId="2">#REF!</definedName>
    <definedName name="CCMFUNDINGAGREEMENTENGAGEMENT">#REF!</definedName>
    <definedName name="CCMFUNDINGAGREEMENTENGAGEMENTCOMMUNICATIONMATERIALANDPUBLICATIONS" localSheetId="0">#REF!</definedName>
    <definedName name="CCMFUNDINGAGREEMENTENGAGEMENTCOMMUNICATIONMATERIALANDPUBLICATIONS" localSheetId="3">#REF!</definedName>
    <definedName name="CCMFUNDINGAGREEMENTENGAGEMENTCOMMUNICATIONMATERIALANDPUBLICATIONS" localSheetId="4">#REF!</definedName>
    <definedName name="CCMFUNDINGAGREEMENTENGAGEMENTCOMMUNICATIONMATERIALANDPUBLICATIONS" localSheetId="5">#REF!</definedName>
    <definedName name="CCMFUNDINGAGREEMENTENGAGEMENTCOMMUNICATIONMATERIALANDPUBLICATIONS" localSheetId="6">#REF!</definedName>
    <definedName name="CCMFUNDINGAGREEMENTENGAGEMENTCOMMUNICATIONMATERIALANDPUBLICATIONS" localSheetId="1">#REF!</definedName>
    <definedName name="CCMFUNDINGAGREEMENTENGAGEMENTCOMMUNICATIONMATERIALANDPUBLICATIONS" localSheetId="2">#REF!</definedName>
    <definedName name="CCMFUNDINGAGREEMENTENGAGEMENTCOMMUNICATIONMATERIALANDPUBLICATIONS">#REF!</definedName>
    <definedName name="CCMFUNDINGAGREEMENTENGAGEMENTEXTERNALPROFESSIONALSERVICES" localSheetId="0">#REF!</definedName>
    <definedName name="CCMFUNDINGAGREEMENTENGAGEMENTEXTERNALPROFESSIONALSERVICES" localSheetId="3">#REF!</definedName>
    <definedName name="CCMFUNDINGAGREEMENTENGAGEMENTEXTERNALPROFESSIONALSERVICES" localSheetId="4">#REF!</definedName>
    <definedName name="CCMFUNDINGAGREEMENTENGAGEMENTEXTERNALPROFESSIONALSERVICES" localSheetId="5">#REF!</definedName>
    <definedName name="CCMFUNDINGAGREEMENTENGAGEMENTEXTERNALPROFESSIONALSERVICES" localSheetId="6">#REF!</definedName>
    <definedName name="CCMFUNDINGAGREEMENTENGAGEMENTEXTERNALPROFESSIONALSERVICES" localSheetId="1">#REF!</definedName>
    <definedName name="CCMFUNDINGAGREEMENTENGAGEMENTEXTERNALPROFESSIONALSERVICES" localSheetId="2">#REF!</definedName>
    <definedName name="CCMFUNDINGAGREEMENTENGAGEMENTEXTERNALPROFESSIONALSERVICES">#REF!</definedName>
    <definedName name="CCMFUNDINGAGREEMENTENGAGEMENTNONHEALTHEQUIPMENT" localSheetId="0">#REF!</definedName>
    <definedName name="CCMFUNDINGAGREEMENTENGAGEMENTNONHEALTHEQUIPMENT" localSheetId="3">#REF!</definedName>
    <definedName name="CCMFUNDINGAGREEMENTENGAGEMENTNONHEALTHEQUIPMENT" localSheetId="4">#REF!</definedName>
    <definedName name="CCMFUNDINGAGREEMENTENGAGEMENTNONHEALTHEQUIPMENT" localSheetId="5">#REF!</definedName>
    <definedName name="CCMFUNDINGAGREEMENTENGAGEMENTNONHEALTHEQUIPMENT" localSheetId="6">#REF!</definedName>
    <definedName name="CCMFUNDINGAGREEMENTENGAGEMENTNONHEALTHEQUIPMENT" localSheetId="1">#REF!</definedName>
    <definedName name="CCMFUNDINGAGREEMENTENGAGEMENTNONHEALTHEQUIPMENT" localSheetId="2">#REF!</definedName>
    <definedName name="CCMFUNDINGAGREEMENTENGAGEMENTNONHEALTHEQUIPMENT">#REF!</definedName>
    <definedName name="CCMFUNDINGAGREEMENTENGAGEMENTNONHEALTHEUIPMENT" localSheetId="0">#REF!</definedName>
    <definedName name="CCMFUNDINGAGREEMENTENGAGEMENTNONHEALTHEUIPMENT">#REF!</definedName>
    <definedName name="CCMFUNDINGAGREEMENTENGAGEMENTTRAVELRELATEDCOSTS" localSheetId="0">#REF!</definedName>
    <definedName name="CCMFUNDINGAGREEMENTENGAGEMENTTRAVELRELATEDCOSTS" localSheetId="3">#REF!</definedName>
    <definedName name="CCMFUNDINGAGREEMENTENGAGEMENTTRAVELRELATEDCOSTS" localSheetId="4">#REF!</definedName>
    <definedName name="CCMFUNDINGAGREEMENTENGAGEMENTTRAVELRELATEDCOSTS" localSheetId="5">#REF!</definedName>
    <definedName name="CCMFUNDINGAGREEMENTENGAGEMENTTRAVELRELATEDCOSTS" localSheetId="6">#REF!</definedName>
    <definedName name="CCMFUNDINGAGREEMENTENGAGEMENTTRAVELRELATEDCOSTS" localSheetId="1">#REF!</definedName>
    <definedName name="CCMFUNDINGAGREEMENTENGAGEMENTTRAVELRELATEDCOSTS" localSheetId="2">#REF!</definedName>
    <definedName name="CCMFUNDINGAGREEMENTENGAGEMENTTRAVELRELATEDCOSTS">#REF!</definedName>
    <definedName name="CCMFUNDINGAGREEMENTOPERATIONS" localSheetId="0">#REF!</definedName>
    <definedName name="CCMFUNDINGAGREEMENTOPERATIONS" localSheetId="3">#REF!</definedName>
    <definedName name="CCMFUNDINGAGREEMENTOPERATIONS" localSheetId="4">#REF!</definedName>
    <definedName name="CCMFUNDINGAGREEMENTOPERATIONS" localSheetId="5">#REF!</definedName>
    <definedName name="CCMFUNDINGAGREEMENTOPERATIONS" localSheetId="6">#REF!</definedName>
    <definedName name="CCMFUNDINGAGREEMENTOPERATIONS" localSheetId="1">#REF!</definedName>
    <definedName name="CCMFUNDINGAGREEMENTOPERATIONS" localSheetId="2">#REF!</definedName>
    <definedName name="CCMFUNDINGAGREEMENTOPERATIONS">#REF!</definedName>
    <definedName name="CCMFUNDINGAGREEMENTOPERATIONSCOMMUNICATIONMATERIALANDPUBLICATIONS" localSheetId="0">#REF!</definedName>
    <definedName name="CCMFUNDINGAGREEMENTOPERATIONSCOMMUNICATIONMATERIALANDPUBLICATIONS" localSheetId="3">#REF!</definedName>
    <definedName name="CCMFUNDINGAGREEMENTOPERATIONSCOMMUNICATIONMATERIALANDPUBLICATIONS" localSheetId="4">#REF!</definedName>
    <definedName name="CCMFUNDINGAGREEMENTOPERATIONSCOMMUNICATIONMATERIALANDPUBLICATIONS" localSheetId="5">#REF!</definedName>
    <definedName name="CCMFUNDINGAGREEMENTOPERATIONSCOMMUNICATIONMATERIALANDPUBLICATIONS" localSheetId="6">#REF!</definedName>
    <definedName name="CCMFUNDINGAGREEMENTOPERATIONSCOMMUNICATIONMATERIALANDPUBLICATIONS" localSheetId="1">#REF!</definedName>
    <definedName name="CCMFUNDINGAGREEMENTOPERATIONSCOMMUNICATIONMATERIALANDPUBLICATIONS" localSheetId="2">#REF!</definedName>
    <definedName name="CCMFUNDINGAGREEMENTOPERATIONSCOMMUNICATIONMATERIALANDPUBLICATIONS">#REF!</definedName>
    <definedName name="CCMFUNDINGAGREEMENTOPERATIONSEXTERNALPROFESSIONALSERVICES" localSheetId="0">#REF!</definedName>
    <definedName name="CCMFUNDINGAGREEMENTOPERATIONSEXTERNALPROFESSIONALSERVICES" localSheetId="3">#REF!</definedName>
    <definedName name="CCMFUNDINGAGREEMENTOPERATIONSEXTERNALPROFESSIONALSERVICES" localSheetId="4">#REF!</definedName>
    <definedName name="CCMFUNDINGAGREEMENTOPERATIONSEXTERNALPROFESSIONALSERVICES" localSheetId="5">#REF!</definedName>
    <definedName name="CCMFUNDINGAGREEMENTOPERATIONSEXTERNALPROFESSIONALSERVICES" localSheetId="6">#REF!</definedName>
    <definedName name="CCMFUNDINGAGREEMENTOPERATIONSEXTERNALPROFESSIONALSERVICES" localSheetId="1">#REF!</definedName>
    <definedName name="CCMFUNDINGAGREEMENTOPERATIONSEXTERNALPROFESSIONALSERVICES" localSheetId="2">#REF!</definedName>
    <definedName name="CCMFUNDINGAGREEMENTOPERATIONSEXTERNALPROFESSIONALSERVICES">#REF!</definedName>
    <definedName name="CCMFUNDINGAGREEMENTOPERATIONSHUMANRESOURCES" localSheetId="0">#REF!</definedName>
    <definedName name="CCMFUNDINGAGREEMENTOPERATIONSHUMANRESOURCES" localSheetId="3">#REF!</definedName>
    <definedName name="CCMFUNDINGAGREEMENTOPERATIONSHUMANRESOURCES" localSheetId="4">#REF!</definedName>
    <definedName name="CCMFUNDINGAGREEMENTOPERATIONSHUMANRESOURCES" localSheetId="5">#REF!</definedName>
    <definedName name="CCMFUNDINGAGREEMENTOPERATIONSHUMANRESOURCES" localSheetId="6">#REF!</definedName>
    <definedName name="CCMFUNDINGAGREEMENTOPERATIONSHUMANRESOURCES" localSheetId="1">#REF!</definedName>
    <definedName name="CCMFUNDINGAGREEMENTOPERATIONSHUMANRESOURCES" localSheetId="2">#REF!</definedName>
    <definedName name="CCMFUNDINGAGREEMENTOPERATIONSHUMANRESOURCES">#REF!</definedName>
    <definedName name="CCMFUNDINGAGREEMENTOPERATIONSINDIRECTANDOVERHEADCOSTS" localSheetId="0">#REF!</definedName>
    <definedName name="CCMFUNDINGAGREEMENTOPERATIONSINDIRECTANDOVERHEADCOSTS" localSheetId="3">#REF!</definedName>
    <definedName name="CCMFUNDINGAGREEMENTOPERATIONSINDIRECTANDOVERHEADCOSTS" localSheetId="4">#REF!</definedName>
    <definedName name="CCMFUNDINGAGREEMENTOPERATIONSINDIRECTANDOVERHEADCOSTS" localSheetId="5">#REF!</definedName>
    <definedName name="CCMFUNDINGAGREEMENTOPERATIONSINDIRECTANDOVERHEADCOSTS" localSheetId="6">#REF!</definedName>
    <definedName name="CCMFUNDINGAGREEMENTOPERATIONSINDIRECTANDOVERHEADCOSTS" localSheetId="1">#REF!</definedName>
    <definedName name="CCMFUNDINGAGREEMENTOPERATIONSINDIRECTANDOVERHEADCOSTS" localSheetId="2">#REF!</definedName>
    <definedName name="CCMFUNDINGAGREEMENTOPERATIONSINDIRECTANDOVERHEADCOSTS">#REF!</definedName>
    <definedName name="CCMFUNDINGAGREEMENTOPERATIONSNONHEALTHEQUIPMENT" localSheetId="0">#REF!</definedName>
    <definedName name="CCMFUNDINGAGREEMENTOPERATIONSNONHEALTHEQUIPMENT" localSheetId="3">#REF!</definedName>
    <definedName name="CCMFUNDINGAGREEMENTOPERATIONSNONHEALTHEQUIPMENT" localSheetId="4">#REF!</definedName>
    <definedName name="CCMFUNDINGAGREEMENTOPERATIONSNONHEALTHEQUIPMENT" localSheetId="5">#REF!</definedName>
    <definedName name="CCMFUNDINGAGREEMENTOPERATIONSNONHEALTHEQUIPMENT" localSheetId="6">#REF!</definedName>
    <definedName name="CCMFUNDINGAGREEMENTOPERATIONSNONHEALTHEQUIPMENT" localSheetId="1">#REF!</definedName>
    <definedName name="CCMFUNDINGAGREEMENTOPERATIONSNONHEALTHEQUIPMENT" localSheetId="2">#REF!</definedName>
    <definedName name="CCMFUNDINGAGREEMENTOPERATIONSNONHEALTHEQUIPMENT">#REF!</definedName>
    <definedName name="CCMFUNDINGAGREEMENTOPERATIONSTRAVELRELATEDCOSTS" localSheetId="0">#REF!</definedName>
    <definedName name="CCMFUNDINGAGREEMENTOPERATIONSTRAVELRELATEDCOSTS" localSheetId="3">#REF!</definedName>
    <definedName name="CCMFUNDINGAGREEMENTOPERATIONSTRAVELRELATEDCOSTS" localSheetId="4">#REF!</definedName>
    <definedName name="CCMFUNDINGAGREEMENTOPERATIONSTRAVELRELATEDCOSTS" localSheetId="5">#REF!</definedName>
    <definedName name="CCMFUNDINGAGREEMENTOPERATIONSTRAVELRELATEDCOSTS" localSheetId="6">#REF!</definedName>
    <definedName name="CCMFUNDINGAGREEMENTOPERATIONSTRAVELRELATEDCOSTS" localSheetId="1">#REF!</definedName>
    <definedName name="CCMFUNDINGAGREEMENTOPERATIONSTRAVELRELATEDCOSTS" localSheetId="2">#REF!</definedName>
    <definedName name="CCMFUNDINGAGREEMENTOPERATIONSTRAVELRELATEDCOSTS">#REF!</definedName>
    <definedName name="CCMFUNDINGAGREEMENTOVERSIGHT" localSheetId="0">#REF!</definedName>
    <definedName name="CCMFUNDINGAGREEMENTOVERSIGHT" localSheetId="3">#REF!</definedName>
    <definedName name="CCMFUNDINGAGREEMENTOVERSIGHT" localSheetId="4">#REF!</definedName>
    <definedName name="CCMFUNDINGAGREEMENTOVERSIGHT" localSheetId="5">#REF!</definedName>
    <definedName name="CCMFUNDINGAGREEMENTOVERSIGHT" localSheetId="6">#REF!</definedName>
    <definedName name="CCMFUNDINGAGREEMENTOVERSIGHT" localSheetId="1">#REF!</definedName>
    <definedName name="CCMFUNDINGAGREEMENTOVERSIGHT" localSheetId="2">#REF!</definedName>
    <definedName name="CCMFUNDINGAGREEMENTOVERSIGHT">#REF!</definedName>
    <definedName name="CCMFUNDINGAGREEMENTOVERSIGHTCOMMUNICATIONMATERIALANDPUBLICATIONS" localSheetId="0">#REF!</definedName>
    <definedName name="CCMFUNDINGAGREEMENTOVERSIGHTCOMMUNICATIONMATERIALANDPUBLICATIONS" localSheetId="3">#REF!</definedName>
    <definedName name="CCMFUNDINGAGREEMENTOVERSIGHTCOMMUNICATIONMATERIALANDPUBLICATIONS" localSheetId="4">#REF!</definedName>
    <definedName name="CCMFUNDINGAGREEMENTOVERSIGHTCOMMUNICATIONMATERIALANDPUBLICATIONS" localSheetId="5">#REF!</definedName>
    <definedName name="CCMFUNDINGAGREEMENTOVERSIGHTCOMMUNICATIONMATERIALANDPUBLICATIONS" localSheetId="6">#REF!</definedName>
    <definedName name="CCMFUNDINGAGREEMENTOVERSIGHTCOMMUNICATIONMATERIALANDPUBLICATIONS" localSheetId="1">#REF!</definedName>
    <definedName name="CCMFUNDINGAGREEMENTOVERSIGHTCOMMUNICATIONMATERIALANDPUBLICATIONS" localSheetId="2">#REF!</definedName>
    <definedName name="CCMFUNDINGAGREEMENTOVERSIGHTCOMMUNICATIONMATERIALANDPUBLICATIONS">#REF!</definedName>
    <definedName name="CCMFUNDINGAGREEMENTOVERSIGHTEXTERNALPROFESSIONALSERVICES" localSheetId="0">#REF!</definedName>
    <definedName name="CCMFUNDINGAGREEMENTOVERSIGHTEXTERNALPROFESSIONALSERVICES" localSheetId="3">#REF!</definedName>
    <definedName name="CCMFUNDINGAGREEMENTOVERSIGHTEXTERNALPROFESSIONALSERVICES" localSheetId="4">#REF!</definedName>
    <definedName name="CCMFUNDINGAGREEMENTOVERSIGHTEXTERNALPROFESSIONALSERVICES" localSheetId="5">#REF!</definedName>
    <definedName name="CCMFUNDINGAGREEMENTOVERSIGHTEXTERNALPROFESSIONALSERVICES" localSheetId="6">#REF!</definedName>
    <definedName name="CCMFUNDINGAGREEMENTOVERSIGHTEXTERNALPROFESSIONALSERVICES" localSheetId="1">#REF!</definedName>
    <definedName name="CCMFUNDINGAGREEMENTOVERSIGHTEXTERNALPROFESSIONALSERVICES" localSheetId="2">#REF!</definedName>
    <definedName name="CCMFUNDINGAGREEMENTOVERSIGHTEXTERNALPROFESSIONALSERVICES">#REF!</definedName>
    <definedName name="CCMFUNDINGAGREEMENTOVERSIGHTHUMANRESOURCES" localSheetId="0">#REF!</definedName>
    <definedName name="CCMFUNDINGAGREEMENTOVERSIGHTHUMANRESOURCES">#REF!</definedName>
    <definedName name="CCMFUNDINGAGREEMENTOVERSIGHTNONHEALTHEQUIPMENT" localSheetId="0">#REF!</definedName>
    <definedName name="CCMFUNDINGAGREEMENTOVERSIGHTNONHEALTHEQUIPMENT" localSheetId="3">#REF!</definedName>
    <definedName name="CCMFUNDINGAGREEMENTOVERSIGHTNONHEALTHEQUIPMENT" localSheetId="4">#REF!</definedName>
    <definedName name="CCMFUNDINGAGREEMENTOVERSIGHTNONHEALTHEQUIPMENT" localSheetId="5">#REF!</definedName>
    <definedName name="CCMFUNDINGAGREEMENTOVERSIGHTNONHEALTHEQUIPMENT" localSheetId="6">#REF!</definedName>
    <definedName name="CCMFUNDINGAGREEMENTOVERSIGHTNONHEALTHEQUIPMENT" localSheetId="1">#REF!</definedName>
    <definedName name="CCMFUNDINGAGREEMENTOVERSIGHTNONHEALTHEQUIPMENT" localSheetId="2">#REF!</definedName>
    <definedName name="CCMFUNDINGAGREEMENTOVERSIGHTNONHEALTHEQUIPMENT">#REF!</definedName>
    <definedName name="CCMFUNDINGAGREEMENTOVERSIGHTTRAVELRELATEDCOSTS" localSheetId="0">#REF!</definedName>
    <definedName name="CCMFUNDINGAGREEMENTOVERSIGHTTRAVELRELATEDCOSTS" localSheetId="3">#REF!</definedName>
    <definedName name="CCMFUNDINGAGREEMENTOVERSIGHTTRAVELRELATEDCOSTS" localSheetId="4">#REF!</definedName>
    <definedName name="CCMFUNDINGAGREEMENTOVERSIGHTTRAVELRELATEDCOSTS" localSheetId="5">#REF!</definedName>
    <definedName name="CCMFUNDINGAGREEMENTOVERSIGHTTRAVELRELATEDCOSTS" localSheetId="6">#REF!</definedName>
    <definedName name="CCMFUNDINGAGREEMENTOVERSIGHTTRAVELRELATEDCOSTS" localSheetId="1">#REF!</definedName>
    <definedName name="CCMFUNDINGAGREEMENTOVERSIGHTTRAVELRELATEDCOSTS" localSheetId="2">#REF!</definedName>
    <definedName name="CCMFUNDINGAGREEMENTOVERSIGHTTRAVELRELATEDCOSTS">#REF!</definedName>
    <definedName name="CCMFUNDINGAGREEMENTPOSITIONING" localSheetId="0">#REF!</definedName>
    <definedName name="CCMFUNDINGAGREEMENTPOSITIONING" localSheetId="3">#REF!</definedName>
    <definedName name="CCMFUNDINGAGREEMENTPOSITIONING" localSheetId="4">#REF!</definedName>
    <definedName name="CCMFUNDINGAGREEMENTPOSITIONING" localSheetId="5">#REF!</definedName>
    <definedName name="CCMFUNDINGAGREEMENTPOSITIONING" localSheetId="6">#REF!</definedName>
    <definedName name="CCMFUNDINGAGREEMENTPOSITIONING" localSheetId="1">#REF!</definedName>
    <definedName name="CCMFUNDINGAGREEMENTPOSITIONING" localSheetId="2">#REF!</definedName>
    <definedName name="CCMFUNDINGAGREEMENTPOSITIONING">#REF!</definedName>
    <definedName name="CCMFUNDINGAGREEMENTPOSITIONINGCOMMUNICATIONMATERIALANDPUBLICATIONS" localSheetId="0">#REF!</definedName>
    <definedName name="CCMFUNDINGAGREEMENTPOSITIONINGCOMMUNICATIONMATERIALANDPUBLICATIONS" localSheetId="3">#REF!</definedName>
    <definedName name="CCMFUNDINGAGREEMENTPOSITIONINGCOMMUNICATIONMATERIALANDPUBLICATIONS" localSheetId="4">#REF!</definedName>
    <definedName name="CCMFUNDINGAGREEMENTPOSITIONINGCOMMUNICATIONMATERIALANDPUBLICATIONS" localSheetId="5">#REF!</definedName>
    <definedName name="CCMFUNDINGAGREEMENTPOSITIONINGCOMMUNICATIONMATERIALANDPUBLICATIONS" localSheetId="6">#REF!</definedName>
    <definedName name="CCMFUNDINGAGREEMENTPOSITIONINGCOMMUNICATIONMATERIALANDPUBLICATIONS" localSheetId="1">#REF!</definedName>
    <definedName name="CCMFUNDINGAGREEMENTPOSITIONINGCOMMUNICATIONMATERIALANDPUBLICATIONS" localSheetId="2">#REF!</definedName>
    <definedName name="CCMFUNDINGAGREEMENTPOSITIONINGCOMMUNICATIONMATERIALANDPUBLICATIONS">#REF!</definedName>
    <definedName name="CCMFUNDINGAGREEMENTPOSITIONINGEXTERNALPROFESSIONALSERVICES" localSheetId="0">#REF!</definedName>
    <definedName name="CCMFUNDINGAGREEMENTPOSITIONINGEXTERNALPROFESSIONALSERVICES" localSheetId="3">#REF!</definedName>
    <definedName name="CCMFUNDINGAGREEMENTPOSITIONINGEXTERNALPROFESSIONALSERVICES" localSheetId="4">#REF!</definedName>
    <definedName name="CCMFUNDINGAGREEMENTPOSITIONINGEXTERNALPROFESSIONALSERVICES" localSheetId="5">#REF!</definedName>
    <definedName name="CCMFUNDINGAGREEMENTPOSITIONINGEXTERNALPROFESSIONALSERVICES" localSheetId="6">#REF!</definedName>
    <definedName name="CCMFUNDINGAGREEMENTPOSITIONINGEXTERNALPROFESSIONALSERVICES" localSheetId="1">#REF!</definedName>
    <definedName name="CCMFUNDINGAGREEMENTPOSITIONINGEXTERNALPROFESSIONALSERVICES" localSheetId="2">#REF!</definedName>
    <definedName name="CCMFUNDINGAGREEMENTPOSITIONINGEXTERNALPROFESSIONALSERVICES">#REF!</definedName>
    <definedName name="CCMFUNDINGAGREEMENTPOSITIONINGTRAVELRELATEDCOSTS" localSheetId="0">#REF!</definedName>
    <definedName name="CCMFUNDINGAGREEMENTPOSITIONINGTRAVELRELATEDCOSTS" localSheetId="3">#REF!</definedName>
    <definedName name="CCMFUNDINGAGREEMENTPOSITIONINGTRAVELRELATEDCOSTS" localSheetId="4">#REF!</definedName>
    <definedName name="CCMFUNDINGAGREEMENTPOSITIONINGTRAVELRELATEDCOSTS" localSheetId="5">#REF!</definedName>
    <definedName name="CCMFUNDINGAGREEMENTPOSITIONINGTRAVELRELATEDCOSTS" localSheetId="6">#REF!</definedName>
    <definedName name="CCMFUNDINGAGREEMENTPOSITIONINGTRAVELRELATEDCOSTS" localSheetId="1">#REF!</definedName>
    <definedName name="CCMFUNDINGAGREEMENTPOSITIONINGTRAVELRELATEDCOSTS" localSheetId="2">#REF!</definedName>
    <definedName name="CCMFUNDINGAGREEMENTPOSITIONINGTRAVELRELATEDCOSTS">#REF!</definedName>
    <definedName name="CCMFUNDINGENGAGEMENTHUMANRESOURCES" localSheetId="0">#REF!</definedName>
    <definedName name="CCMFUNDINGENGAGEMENTHUMANRESOURCES">#REF!</definedName>
    <definedName name="CCMPerCountry">[2]Data!$P$3:$R$136</definedName>
    <definedName name="CM1aSex" localSheetId="0">[4]CoverageDisaggregationData!#REF!</definedName>
    <definedName name="CM1aSex">[4]CoverageDisaggregationData!#REF!</definedName>
    <definedName name="CM1bSex" localSheetId="0">[4]CoverageDisaggregationData!#REF!</definedName>
    <definedName name="CM1bSex">[4]CoverageDisaggregationData!#REF!</definedName>
    <definedName name="CM1cSex" localSheetId="0">[4]CoverageDisaggregationData!#REF!</definedName>
    <definedName name="CM1cSex">[4]CoverageDisaggregationData!#REF!</definedName>
    <definedName name="CM2aSex" localSheetId="0">[4]CoverageDisaggregationData!#REF!</definedName>
    <definedName name="CM2aSex">[4]CoverageDisaggregationData!#REF!</definedName>
    <definedName name="CM2aTypeoftreatment" localSheetId="0">[4]CoverageDisaggregationData!#REF!</definedName>
    <definedName name="CM2aTypeoftreatment">[4]CoverageDisaggregationData!#REF!</definedName>
    <definedName name="CM2bSex" localSheetId="0">[4]CoverageDisaggregationData!#REF!</definedName>
    <definedName name="CM2bSex">[4]CoverageDisaggregationData!#REF!</definedName>
    <definedName name="CM2bTypeoftreatment" localSheetId="0">[4]CoverageDisaggregationData!#REF!</definedName>
    <definedName name="CM2bTypeoftreatment">[4]CoverageDisaggregationData!#REF!</definedName>
    <definedName name="CM2cSex" localSheetId="0">[4]CoverageDisaggregationData!#REF!</definedName>
    <definedName name="CM2cSex">[4]CoverageDisaggregationData!#REF!</definedName>
    <definedName name="CM2cTypeoftreatment" localSheetId="0">[4]CoverageDisaggregationData!#REF!</definedName>
    <definedName name="CM2cTypeoftreatment">[4]CoverageDisaggregationData!#REF!</definedName>
    <definedName name="CM3aSex" localSheetId="0">[4]CoverageDisaggregationData!#REF!</definedName>
    <definedName name="CM3aSex">[4]CoverageDisaggregationData!#REF!</definedName>
    <definedName name="CM3aTypeoftreatment" localSheetId="0">[4]CoverageDisaggregationData!#REF!</definedName>
    <definedName name="CM3aTypeoftreatment">[4]CoverageDisaggregationData!#REF!</definedName>
    <definedName name="CM3bSex" localSheetId="0">[4]CoverageDisaggregationData!#REF!</definedName>
    <definedName name="CM3bSex">[4]CoverageDisaggregationData!#REF!</definedName>
    <definedName name="CM3bTypeoftreatment" localSheetId="0">[4]CoverageDisaggregationData!#REF!</definedName>
    <definedName name="CM3bTypeoftreatment">[4]CoverageDisaggregationData!#REF!</definedName>
    <definedName name="CM3cSex" localSheetId="0">[4]CoverageDisaggregationData!#REF!</definedName>
    <definedName name="CM3cSex">[4]CoverageDisaggregationData!#REF!</definedName>
    <definedName name="CM3cTypeoftreatment" localSheetId="0">[4]CoverageDisaggregationData!#REF!</definedName>
    <definedName name="CM3cTypeoftreatment">[4]CoverageDisaggregationData!#REF!</definedName>
    <definedName name="Component">[4]Data!$I$2:$I$6</definedName>
    <definedName name="ComponentSelected" localSheetId="0">[3]Setup!$B$4</definedName>
    <definedName name="ComponentSelected">[5]Setup!$B$4</definedName>
    <definedName name="CostCategory_FullNameByAbv">[2]Data!$I$3:$J$10</definedName>
    <definedName name="CostCategoryWithAbbreviation">[2]Data!$J$3:$J$10</definedName>
    <definedName name="CostInputs" localSheetId="0">OFFSET('[3]Cost Inputs'!$N$3,0,VLOOKUP(EN_EvolutionThreshold_Transfer!ComponentSelected,[3]CatCmp!$C:$H,6,FALSE),'[3]Cost Inputs'!$S$2,1)</definedName>
    <definedName name="CostInputs">OFFSET('[5]Cost Inputs'!$N$3,0,VLOOKUP(ComponentSelected,[5]CatCmp!$C:$H,6,FALSE),'[5]Cost Inputs'!$S$2,1)</definedName>
    <definedName name="CountActivity" localSheetId="0">#REF!</definedName>
    <definedName name="CountActivity">#REF!</definedName>
    <definedName name="Country">[2]Menu!$B$6</definedName>
    <definedName name="CountTotalLineDetailBudget" localSheetId="0">#REF!</definedName>
    <definedName name="CountTotalLineDetailBudget">#REF!</definedName>
    <definedName name="CoverageChoice" localSheetId="0">OFFSET(#REF!, 0, 0, COUNTA(#REF!),1)</definedName>
    <definedName name="CoverageChoice">OFFSET(#REF!, 0, 0, COUNTA(#REF!),1)</definedName>
    <definedName name="COVID19RM" localSheetId="0">#REF!</definedName>
    <definedName name="COVID19RM" localSheetId="3">#REF!</definedName>
    <definedName name="COVID19RM" localSheetId="4">#REF!</definedName>
    <definedName name="COVID19RM" localSheetId="5">#REF!</definedName>
    <definedName name="COVID19RM" localSheetId="6">#REF!</definedName>
    <definedName name="COVID19RM" localSheetId="1">#REF!</definedName>
    <definedName name="COVID19RM" localSheetId="2">#REF!</definedName>
    <definedName name="COVID19RM">#REF!</definedName>
    <definedName name="COVID19RMENGAGEMENT" localSheetId="0">#REF!</definedName>
    <definedName name="COVID19RMENGAGEMENT" localSheetId="3">#REF!</definedName>
    <definedName name="COVID19RMENGAGEMENT" localSheetId="4">#REF!</definedName>
    <definedName name="COVID19RMENGAGEMENT" localSheetId="5">#REF!</definedName>
    <definedName name="COVID19RMENGAGEMENT" localSheetId="6">#REF!</definedName>
    <definedName name="COVID19RMENGAGEMENT" localSheetId="1">#REF!</definedName>
    <definedName name="COVID19RMENGAGEMENT" localSheetId="2">#REF!</definedName>
    <definedName name="COVID19RMENGAGEMENT">#REF!</definedName>
    <definedName name="COVID19RMENGAGEMENTCOMMUNICATIONMATERIALANDPUBLICATIONS" localSheetId="0">#REF!</definedName>
    <definedName name="COVID19RMENGAGEMENTCOMMUNICATIONMATERIALANDPUBLICATIONS">#REF!</definedName>
    <definedName name="COVID19RMENGAGEMENTEXTERNALPROFESSIONALSERVICES" localSheetId="0">#REF!</definedName>
    <definedName name="COVID19RMENGAGEMENTEXTERNALPROFESSIONALSERVICES" localSheetId="3">#REF!</definedName>
    <definedName name="COVID19RMENGAGEMENTEXTERNALPROFESSIONALSERVICES" localSheetId="4">#REF!</definedName>
    <definedName name="COVID19RMENGAGEMENTEXTERNALPROFESSIONALSERVICES" localSheetId="5">#REF!</definedName>
    <definedName name="COVID19RMENGAGEMENTEXTERNALPROFESSIONALSERVICES" localSheetId="6">#REF!</definedName>
    <definedName name="COVID19RMENGAGEMENTEXTERNALPROFESSIONALSERVICES" localSheetId="1">#REF!</definedName>
    <definedName name="COVID19RMENGAGEMENTEXTERNALPROFESSIONALSERVICES" localSheetId="2">#REF!</definedName>
    <definedName name="COVID19RMENGAGEMENTEXTERNALPROFESSIONALSERVICES">#REF!</definedName>
    <definedName name="COVID19RMENGAGEMENTHUMANRESOURCES" localSheetId="0">#REF!</definedName>
    <definedName name="COVID19RMENGAGEMENTHUMANRESOURCES" localSheetId="3">#REF!</definedName>
    <definedName name="COVID19RMENGAGEMENTHUMANRESOURCES" localSheetId="4">#REF!</definedName>
    <definedName name="COVID19RMENGAGEMENTHUMANRESOURCES" localSheetId="5">#REF!</definedName>
    <definedName name="COVID19RMENGAGEMENTHUMANRESOURCES" localSheetId="6">#REF!</definedName>
    <definedName name="COVID19RMENGAGEMENTHUMANRESOURCES" localSheetId="1">#REF!</definedName>
    <definedName name="COVID19RMENGAGEMENTHUMANRESOURCES" localSheetId="2">#REF!</definedName>
    <definedName name="COVID19RMENGAGEMENTHUMANRESOURCES">#REF!</definedName>
    <definedName name="COVID19RMENGAGEMENTNONHEALTHEQUIPMENT" localSheetId="0">#REF!</definedName>
    <definedName name="COVID19RMENGAGEMENTNONHEALTHEQUIPMENT">#REF!</definedName>
    <definedName name="COVID19RMENGAGEMENTTRAVELRELATEDCOSTS" localSheetId="0">#REF!</definedName>
    <definedName name="COVID19RMENGAGEMENTTRAVELRELATEDCOSTS" localSheetId="3">#REF!</definedName>
    <definedName name="COVID19RMENGAGEMENTTRAVELRELATEDCOSTS" localSheetId="4">#REF!</definedName>
    <definedName name="COVID19RMENGAGEMENTTRAVELRELATEDCOSTS" localSheetId="5">#REF!</definedName>
    <definedName name="COVID19RMENGAGEMENTTRAVELRELATEDCOSTS" localSheetId="6">#REF!</definedName>
    <definedName name="COVID19RMENGAGEMENTTRAVELRELATEDCOSTS" localSheetId="1">#REF!</definedName>
    <definedName name="COVID19RMENGAGEMENTTRAVELRELATEDCOSTS" localSheetId="2">#REF!</definedName>
    <definedName name="COVID19RMENGAGEMENTTRAVELRELATEDCOSTS">#REF!</definedName>
    <definedName name="COVID19RMOPERATIONS" localSheetId="0">#REF!</definedName>
    <definedName name="COVID19RMOPERATIONS">#REF!</definedName>
    <definedName name="COVID19RMOVERSIGHT" localSheetId="0">#REF!</definedName>
    <definedName name="COVID19RMOVERSIGHT">#REF!</definedName>
    <definedName name="COVID19RMPOSITIONING" localSheetId="0">#REF!</definedName>
    <definedName name="COVID19RMPOSITIONING">#REF!</definedName>
    <definedName name="Currencies" localSheetId="0">[3]Setup!$B$10:$B$12</definedName>
    <definedName name="Currencies">[5]Setup!$B$10:$B$12</definedName>
    <definedName name="Currency">[2]Menu!$B$10</definedName>
    <definedName name="Day" localSheetId="0">[6]CCMs!$N$2:$N$33</definedName>
    <definedName name="Day">#REF!</definedName>
    <definedName name="Disagg_categories" localSheetId="0">#REF!</definedName>
    <definedName name="Disagg_categories">#REF!</definedName>
    <definedName name="EFR_List_IE" localSheetId="0">'[7]Definitions-lists-EFR'!$A$58:$A$65</definedName>
    <definedName name="EFR_List_IE">'[8]Definitions-lists-EFR'!$A$58:$A$65</definedName>
    <definedName name="EFRListMal" localSheetId="0">'[7]Definitions-lists-EFR'!$A$21:$A$25</definedName>
    <definedName name="EFRListMal">'[8]Definitions-lists-EFR'!$A$21:$A$25</definedName>
    <definedName name="EFRMalariaSDA" localSheetId="0">'[7]Memo Malaria'!$A$2:$A$24</definedName>
    <definedName name="EFRMalariaSDA">'[8]Memo Malaria'!$A$2:$A$24</definedName>
    <definedName name="Engagement" localSheetId="9">Table68[CCM Evolution Engagement]</definedName>
    <definedName name="Engagement" localSheetId="10">Table68[CCM Evolution Engagement]</definedName>
    <definedName name="Engagement" localSheetId="0">[9]!Table68[CCM Evolution Engagement]</definedName>
    <definedName name="Engagement" localSheetId="3">Table68[CCM Evolution Engagement]</definedName>
    <definedName name="Engagement" localSheetId="2">Table68[CCM Evolution Engagement]</definedName>
    <definedName name="Engagement">Table68[CCM Evolution Engagement]</definedName>
    <definedName name="EuroLocal">'[1]Range Page'!$A$48</definedName>
    <definedName name="EuroUSD">'[1]Range Page'!$A$47</definedName>
    <definedName name="Evaluation_Ye" localSheetId="0">#REF!</definedName>
    <definedName name="Evaluation_Ye" localSheetId="3">EN_PF_QualitativeBaseline!$D$15</definedName>
    <definedName name="Evaluation_Ye" localSheetId="4">EN_PF_Year3!$D$25</definedName>
    <definedName name="Evaluation_Ye" localSheetId="5">EN_PF_YearY!$D$25</definedName>
    <definedName name="Evaluation_Ye" localSheetId="6">EN_PF_YearZ!$D$25</definedName>
    <definedName name="Evaluation_Ye" localSheetId="1">EN_Progress_Results!#REF!</definedName>
    <definedName name="Evaluation_Ye" localSheetId="2">Progress_Results_Strategy!#REF!</definedName>
    <definedName name="Evaluation_Ye">#REF!</definedName>
    <definedName name="Evaluation_Year_1" localSheetId="0">#REF!</definedName>
    <definedName name="Evaluation_Year_1" localSheetId="3">EN_PF_QualitativeBaseline!$G$15:$K$31</definedName>
    <definedName name="Evaluation_Year_1" localSheetId="4">EN_PF_Year3!$G$25:$L$56</definedName>
    <definedName name="Evaluation_Year_1" localSheetId="5">EN_PF_YearY!$G$25:$L$56</definedName>
    <definedName name="Evaluation_Year_1" localSheetId="6">EN_PF_YearZ!$G$25:$L$56</definedName>
    <definedName name="Evaluation_Year_1" localSheetId="1">EN_Progress_Results!#REF!</definedName>
    <definedName name="Evaluation_Year_1" localSheetId="2">Progress_Results_Strategy!#REF!</definedName>
    <definedName name="Evaluation_Year_1">#REF!</definedName>
    <definedName name="Evaluation_Year_2" localSheetId="0">#REF!</definedName>
    <definedName name="Evaluation_Year_2" localSheetId="3">EN_PF_QualitativeBaseline!#REF!</definedName>
    <definedName name="Evaluation_Year_2" localSheetId="4">EN_PF_Year3!#REF!</definedName>
    <definedName name="Evaluation_Year_2" localSheetId="5">EN_PF_YearY!#REF!</definedName>
    <definedName name="Evaluation_Year_2" localSheetId="6">EN_PF_YearZ!#REF!</definedName>
    <definedName name="Evaluation_Year_2" localSheetId="1">EN_Progress_Results!#REF!</definedName>
    <definedName name="Evaluation_Year_2" localSheetId="2">Progress_Results_Strategy!#REF!</definedName>
    <definedName name="Evaluation_Year_2">#REF!</definedName>
    <definedName name="Evaluation_Year_3" localSheetId="0">#REF!</definedName>
    <definedName name="Evaluation_Year_3" localSheetId="3">EN_PF_QualitativeBaseline!#REF!</definedName>
    <definedName name="Evaluation_Year_3" localSheetId="4">EN_PF_Year3!#REF!</definedName>
    <definedName name="Evaluation_Year_3" localSheetId="5">EN_PF_YearY!#REF!</definedName>
    <definedName name="Evaluation_Year_3" localSheetId="6">EN_PF_YearZ!#REF!</definedName>
    <definedName name="Evaluation_Year_3" localSheetId="1">EN_Progress_Results!#REF!</definedName>
    <definedName name="Evaluation_Year_3" localSheetId="2">Progress_Results_Strategy!#REF!</definedName>
    <definedName name="Evaluation_Year_3">#REF!</definedName>
    <definedName name="Evaluation_Year3" localSheetId="0">#REF!</definedName>
    <definedName name="Evaluation_Year3" localSheetId="3">EN_PF_QualitativeBaseline!#REF!</definedName>
    <definedName name="Evaluation_Year3" localSheetId="4">EN_PF_Year3!#REF!</definedName>
    <definedName name="Evaluation_Year3" localSheetId="5">EN_PF_YearY!#REF!</definedName>
    <definedName name="Evaluation_Year3" localSheetId="6">EN_PF_YearZ!#REF!</definedName>
    <definedName name="Evaluation_Year3" localSheetId="1">EN_Progress_Results!#REF!</definedName>
    <definedName name="Evaluation_Year3" localSheetId="2">Progress_Results_Strategy!#REF!</definedName>
    <definedName name="Evaluation_Year3">#REF!</definedName>
    <definedName name="Evaluation_Year4" localSheetId="0">#REF!</definedName>
    <definedName name="Evaluation_Year4" localSheetId="3">EN_PF_QualitativeBaseline!$L$15:$P$31</definedName>
    <definedName name="Evaluation_Year4" localSheetId="4">EN_PF_Year3!$M$25:$Q$56</definedName>
    <definedName name="Evaluation_Year4" localSheetId="5">EN_PF_YearY!$K$25:$M$56</definedName>
    <definedName name="Evaluation_Year4" localSheetId="6">EN_PF_YearZ!$M$25:$Q$56</definedName>
    <definedName name="Evaluation_Year4" localSheetId="1">EN_Progress_Results!#REF!</definedName>
    <definedName name="Evaluation_Year4" localSheetId="2">Progress_Results_Strategy!#REF!</definedName>
    <definedName name="Evaluation_Year4">#REF!</definedName>
    <definedName name="GrantList" localSheetId="0">#REF!</definedName>
    <definedName name="GrantList">#REF!</definedName>
    <definedName name="Grants" localSheetId="0">#REF!</definedName>
    <definedName name="Grants">#REF!</definedName>
    <definedName name="HIV" localSheetId="0">#REF!</definedName>
    <definedName name="HIV">#REF!</definedName>
    <definedName name="HIV_TBModule6" localSheetId="0">'[4]Intervention By Modules'!#REF!</definedName>
    <definedName name="HIV_TBModule6">'[4]Intervention By Modules'!#REF!</definedName>
    <definedName name="HIVstatus" localSheetId="0">#REF!</definedName>
    <definedName name="HIVstatus">#REF!</definedName>
    <definedName name="HIVStatusPregnent" localSheetId="0">#REF!</definedName>
    <definedName name="HIVStatusPregnent">#REF!</definedName>
    <definedName name="HIVTestResult" localSheetId="0">#REF!</definedName>
    <definedName name="HIVTestResult">#REF!</definedName>
    <definedName name="HSS" localSheetId="0">#REF!</definedName>
    <definedName name="HSS">#REF!</definedName>
    <definedName name="IE">'[4]EFR Data'!$A$41:$A$48</definedName>
    <definedName name="IMPLEMENTATION_PHASE" localSheetId="0">[10]Definitions!#REF!</definedName>
    <definedName name="IMPLEMENTATION_PHASE">[11]Definitions!#REF!</definedName>
    <definedName name="ImpOutIndicatorChoice" localSheetId="0">OFFSET(#REF!,0,0,COUNTA(#REF!),1)</definedName>
    <definedName name="ImpOutIndicatorChoice">OFFSET(#REF!,0,0,COUNTA(#REF!),1)</definedName>
    <definedName name="IndicatorTypesList" localSheetId="0">#REF!</definedName>
    <definedName name="IndicatorTypesList">#REF!</definedName>
    <definedName name="IndicatorWithNumber">[2]Data!$H$21:$H$28</definedName>
    <definedName name="Integrated_community_case_management__ICCM" localSheetId="0">'[4]Intervention By Modules'!#REF!</definedName>
    <definedName name="Integrated_community_case_management__ICCM">'[4]Intervention By Modules'!#REF!</definedName>
    <definedName name="INTERVENTIONS">Table314[[#All],[Select Interventions for improvement]]</definedName>
    <definedName name="KAPs" localSheetId="0">#REF!</definedName>
    <definedName name="KAPs">#REF!</definedName>
    <definedName name="LangOffset">'[12]Chg log'!$D$1</definedName>
    <definedName name="LFA_SDA" localSheetId="0">'[13]LFA_Programmatic Progress_1B'!#REF!</definedName>
    <definedName name="LFA_SDA">'[13]LFA_Programmatic Progress_1B'!#REF!</definedName>
    <definedName name="LFASig" localSheetId="0">#REF!</definedName>
    <definedName name="LFASig">#REF!</definedName>
    <definedName name="list" localSheetId="0">#REF!</definedName>
    <definedName name="list">#REF!</definedName>
    <definedName name="List_IE" localSheetId="0">#REF!</definedName>
    <definedName name="List_IE">#REF!</definedName>
    <definedName name="List_Region">[2]Data!$W$3:$W$11</definedName>
    <definedName name="list1" localSheetId="0">#REF!</definedName>
    <definedName name="list1">#REF!</definedName>
    <definedName name="list2" localSheetId="0">#REF!</definedName>
    <definedName name="list2">#REF!</definedName>
    <definedName name="listH" localSheetId="0">#REF!</definedName>
    <definedName name="listH">#REF!</definedName>
    <definedName name="ListHIV" localSheetId="0">#REF!</definedName>
    <definedName name="ListHIV">#REF!</definedName>
    <definedName name="listie" localSheetId="0">#REF!</definedName>
    <definedName name="listie">#REF!</definedName>
    <definedName name="listmac" localSheetId="0">#REF!</definedName>
    <definedName name="listmac">#REF!</definedName>
    <definedName name="ListMal" localSheetId="0">#REF!</definedName>
    <definedName name="ListMal">#REF!</definedName>
    <definedName name="listnew" localSheetId="0">#REF!</definedName>
    <definedName name="listnew">#REF!</definedName>
    <definedName name="listS" localSheetId="0">#REF!</definedName>
    <definedName name="listS">#REF!</definedName>
    <definedName name="listsda" localSheetId="0">#REF!</definedName>
    <definedName name="listsda">#REF!</definedName>
    <definedName name="listsdah" localSheetId="0">#REF!</definedName>
    <definedName name="listsdah">#REF!</definedName>
    <definedName name="listsdahiv" localSheetId="0">#REF!</definedName>
    <definedName name="listsdahiv">#REF!</definedName>
    <definedName name="listsdahiv1" localSheetId="0">#REF!</definedName>
    <definedName name="listsdahiv1">#REF!</definedName>
    <definedName name="listsdam">[14]Definitions!$C$28:$C$50</definedName>
    <definedName name="listsdat" localSheetId="0">#REF!</definedName>
    <definedName name="listsdat">#REF!</definedName>
    <definedName name="listsdat1">[15]Definitions!$C$39:$C$54</definedName>
    <definedName name="listserv" localSheetId="0">#REF!</definedName>
    <definedName name="listserv">#REF!</definedName>
    <definedName name="ListTB" localSheetId="0">#REF!</definedName>
    <definedName name="ListTB">#REF!</definedName>
    <definedName name="Malaria" localSheetId="0">#REF!</definedName>
    <definedName name="Malaria">#REF!</definedName>
    <definedName name="MDRTB3Casedefinition" localSheetId="0">[4]CoverageDisaggregationData!#REF!</definedName>
    <definedName name="MDRTB3Casedefinition">[4]CoverageDisaggregationData!#REF!</definedName>
    <definedName name="Module6" localSheetId="0">'[4]Coverage Indicators'!#REF!</definedName>
    <definedName name="Module6">'[4]Coverage Indicators'!#REF!</definedName>
    <definedName name="ModuleChoice" localSheetId="0">OFFSET(#REF!,0,0,(COUNTA(#REF!)-1),1)</definedName>
    <definedName name="ModuleChoice">OFFSET(#REF!,0,0,(COUNTA(#REF!)-1),1)</definedName>
    <definedName name="ModulesInCmp" localSheetId="0">OFFSET([3]ModInCmp!$C$2,0,0,EN_EvolutionThreshold_Transfer!NbrOfModulesInCmp,1)</definedName>
    <definedName name="ModulesInCmp">OFFSET([5]ModInCmp!$C$2,0,0,NbrOfModulesInCmp,1)</definedName>
    <definedName name="Month" localSheetId="0">[6]CCMs!$O$2:$O$14</definedName>
    <definedName name="Month">#REF!</definedName>
    <definedName name="Name_of_CCM" localSheetId="0">[6]CCMs!$A$2:$A$136</definedName>
    <definedName name="Name_of_CCM">#REF!</definedName>
    <definedName name="NbrOfModulesInCmp" localSheetId="0">COUNT([3]ModInCmp!$A:$A)</definedName>
    <definedName name="NbrOfModulesInCmp">COUNT([5]ModInCmp!$A:$A)</definedName>
    <definedName name="Objective" localSheetId="0">#REF!</definedName>
    <definedName name="Objective">#REF!</definedName>
    <definedName name="ObjectiveForReport" localSheetId="0">#REF!</definedName>
    <definedName name="ObjectiveForReport">#REF!</definedName>
    <definedName name="ObjectiveWithNumber">[2]Data!$E$21:$E$24</definedName>
    <definedName name="OI_Component" localSheetId="0">#REF!</definedName>
    <definedName name="OI_Component">#REF!</definedName>
    <definedName name="OI_HIV" localSheetId="0">#REF!</definedName>
    <definedName name="OI_HIV">#REF!</definedName>
    <definedName name="OI_HSS" localSheetId="0">#REF!</definedName>
    <definedName name="OI_HSS">#REF!</definedName>
    <definedName name="OI_Malaria" localSheetId="0">#REF!</definedName>
    <definedName name="OI_Malaria">#REF!</definedName>
    <definedName name="OI_TB" localSheetId="0">#REF!</definedName>
    <definedName name="OI_TB">#REF!</definedName>
    <definedName name="ONLYTASUPPORTENGAGEMENT">Table617[[#All],[Only TA Support Engagement]]</definedName>
    <definedName name="ONLYTASUPPORTOPERATIONS">Table6171315[[#All],[Only TA Support Operations]]</definedName>
    <definedName name="ONLYTASUPPORTOVERSIGHT">Table415[[#All],[Only TA Support Oversight]]</definedName>
    <definedName name="ONLYTASUPPORTPOSITIONING">Table61713[[#All],[Only TA Support Positioning]]</definedName>
    <definedName name="Operations" localSheetId="9">Table226[CCM Evolution Operations]</definedName>
    <definedName name="Operations" localSheetId="10">Table226[CCM Evolution Operations]</definedName>
    <definedName name="Operations" localSheetId="0">[9]!Table226[CCM Evolution Operations]</definedName>
    <definedName name="Operations" localSheetId="3">Table226[CCM Evolution Operations]</definedName>
    <definedName name="Operations" localSheetId="2">Table226[CCM Evolution Operations]</definedName>
    <definedName name="Operations">Table226[CCM Evolution Operations]</definedName>
    <definedName name="Oversight" localSheetId="9">Table263[CCM Evolution Oversight]</definedName>
    <definedName name="Oversight" localSheetId="10">Table263[CCM Evolution Oversight]</definedName>
    <definedName name="Oversight" localSheetId="0">[9]!Table263[CCM Evolution Oversight]</definedName>
    <definedName name="Oversight" localSheetId="3">Table263[CCM Evolution Oversight]</definedName>
    <definedName name="Oversight" localSheetId="2">Table263[CCM Evolution Oversight]</definedName>
    <definedName name="Oversight">Table263[CCM Evolution Oversight]</definedName>
    <definedName name="Performance_Rating" localSheetId="0">#REF!</definedName>
    <definedName name="Performance_Rating">#REF!</definedName>
    <definedName name="PerformanceAreaPerObjective" localSheetId="0">#REF!</definedName>
    <definedName name="PerformanceAreaPerObjective">#REF!</definedName>
    <definedName name="PMTCT2" localSheetId="0">[4]CoverageDisaggregationData!#REF!</definedName>
    <definedName name="PMTCT2">[4]CoverageDisaggregationData!#REF!</definedName>
    <definedName name="PMTCT2Typeofregimen" localSheetId="0">[4]CoverageDisaggregationData!#REF!</definedName>
    <definedName name="PMTCT2Typeofregimen">[4]CoverageDisaggregationData!#REF!</definedName>
    <definedName name="Positioning" localSheetId="9">Table115[[CCM Evolution Positioning ]]</definedName>
    <definedName name="Positioning" localSheetId="10">Table115[[CCM Evolution Positioning ]]</definedName>
    <definedName name="Positioning" localSheetId="0">[9]!Table115[[CCM Evolution Positioning ]]</definedName>
    <definedName name="Positioning" localSheetId="3">Table115[[CCM Evolution Positioning ]]</definedName>
    <definedName name="Positioning" localSheetId="2">Table115[[CCM Evolution Positioning ]]</definedName>
    <definedName name="Positioning">Table115[[CCM Evolution Positioning ]]</definedName>
    <definedName name="PR_SDA" localSheetId="0">#REF!</definedName>
    <definedName name="PR_SDA">#REF!</definedName>
    <definedName name="PRAcronym" localSheetId="0">'[3]Budget Lines'!$J$2:INDEX('[3]Budget Lines'!$J$2:$J$22,COUNTIF('[3]Budget Lines'!$J$2:$J$22,"?*"))</definedName>
    <definedName name="PRAcronym">'[5]Budget Lines'!$J$2:INDEX('[5]Budget Lines'!$J$2:$J$22,COUNTIF('[5]Budget Lines'!$J$2:$J$22,"?*"))</definedName>
    <definedName name="_xlnm.Print_Area" localSheetId="4">EN_PF_Year3!$A$1:$AM$65</definedName>
    <definedName name="Priority" localSheetId="0">#REF!</definedName>
    <definedName name="Priority">#REF!</definedName>
    <definedName name="procurementfee">'[1]Range Page'!$A$39</definedName>
    <definedName name="produce" localSheetId="0">#REF!</definedName>
    <definedName name="produce" localSheetId="3">#REF!</definedName>
    <definedName name="produce" localSheetId="4">#REF!</definedName>
    <definedName name="produce" localSheetId="5">#REF!</definedName>
    <definedName name="produce" localSheetId="6">#REF!</definedName>
    <definedName name="produce" localSheetId="1">#REF!</definedName>
    <definedName name="produce" localSheetId="2">#REF!</definedName>
    <definedName name="produce">#REF!</definedName>
    <definedName name="produce2" localSheetId="0">#REF!</definedName>
    <definedName name="produce2">#REF!</definedName>
    <definedName name="Recipient">[2]Menu!$B$9</definedName>
    <definedName name="Region">[2]Menu!$B$5</definedName>
    <definedName name="S">'[13]Memo HIV'!$A$2:$A$26</definedName>
    <definedName name="SD" localSheetId="0">#REF!</definedName>
    <definedName name="SD">#REF!</definedName>
    <definedName name="SDA" localSheetId="0">#REF!</definedName>
    <definedName name="SDA">#REF!</definedName>
    <definedName name="SecondCondition">#REF!</definedName>
    <definedName name="Sex" localSheetId="0">#REF!</definedName>
    <definedName name="Sex">#REF!</definedName>
    <definedName name="Sources" localSheetId="0">#REF!</definedName>
    <definedName name="Sources">#REF!</definedName>
    <definedName name="Specialization" localSheetId="0">#REF!</definedName>
    <definedName name="Specialization">#REF!</definedName>
    <definedName name="Status" localSheetId="0">#REF!</definedName>
    <definedName name="Status">#REF!</definedName>
    <definedName name="TargetedRiskGroup" localSheetId="0">#REF!</definedName>
    <definedName name="TargetedRiskGroup">#REF!</definedName>
    <definedName name="TB" localSheetId="0">#REF!</definedName>
    <definedName name="TB">#REF!</definedName>
    <definedName name="TBO4a" localSheetId="0">[4]ImpactOutcomeDisaggData!#REF!</definedName>
    <definedName name="TBO4a">[4]ImpactOutcomeDisaggData!#REF!</definedName>
    <definedName name="TBO4Age" localSheetId="0">[4]ImpactOutcomeDisaggData!#REF!</definedName>
    <definedName name="TBO4Age">[4]ImpactOutcomeDisaggData!#REF!</definedName>
    <definedName name="TBO4Sex" localSheetId="0">[4]ImpactOutcomeDisaggData!#REF!</definedName>
    <definedName name="TBO4Sex">[4]ImpactOutcomeDisaggData!#REF!</definedName>
    <definedName name="TEST" localSheetId="0">#REF!</definedName>
    <definedName name="TEST">#REF!</definedName>
    <definedName name="Timeframe" localSheetId="0">#REF!</definedName>
    <definedName name="Timeframe">#REF!</definedName>
    <definedName name="TotalYear1" localSheetId="0">#REF!</definedName>
    <definedName name="TotalYear1">#REF!</definedName>
    <definedName name="TotalYear2" localSheetId="0">#REF!</definedName>
    <definedName name="TotalYear2">#REF!</definedName>
    <definedName name="TouteslesactivitésFonctionnement">#REF!</definedName>
    <definedName name="TouteslesactivitésParticipation">#REF!</definedName>
    <definedName name="TouteslesactivitésPositionnement">#REF!</definedName>
    <definedName name="TouteslesactivitésSuivistratégique">#REF!</definedName>
    <definedName name="TypeRegimen" localSheetId="0">#REF!</definedName>
    <definedName name="TypeRegimen">#REF!</definedName>
    <definedName name="TypeTesting" localSheetId="0">#REF!</definedName>
    <definedName name="TypeTesting">#REF!</definedName>
    <definedName name="TypeTreatment" localSheetId="0">#REF!</definedName>
    <definedName name="TypeTreat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3" i="62" l="1" a="1"/>
  <c r="J33" i="62" s="1"/>
  <c r="J33" i="63" a="1"/>
  <c r="J33" i="63" s="1"/>
  <c r="J33" i="64" l="1" a="1"/>
  <c r="J33" i="64" s="1"/>
  <c r="G18" i="64"/>
  <c r="G18" i="63"/>
  <c r="G18" i="62"/>
  <c r="H28" i="62" a="1"/>
  <c r="H28" i="62" s="1"/>
  <c r="H56" i="62" l="1" a="1"/>
  <c r="H56" i="62" s="1"/>
  <c r="D14" i="64" l="1"/>
  <c r="D22" i="64" a="1"/>
  <c r="D22" i="64" s="1"/>
  <c r="B97" i="57"/>
  <c r="B96" i="57"/>
  <c r="B95" i="57"/>
  <c r="B94" i="57"/>
  <c r="D22" i="62" a="1"/>
  <c r="D22" i="62" s="1"/>
  <c r="D13" i="68"/>
  <c r="D13" i="62" s="1"/>
  <c r="H28" i="68"/>
  <c r="H24" i="68"/>
  <c r="H20" i="68"/>
  <c r="H16" i="68"/>
  <c r="D64" i="57"/>
  <c r="N64" i="57" s="1" a="1"/>
  <c r="N64" i="57" s="1"/>
  <c r="D65" i="57"/>
  <c r="N65" i="57" s="1" a="1"/>
  <c r="N65" i="57" s="1"/>
  <c r="D66" i="57"/>
  <c r="N66" i="57" s="1" a="1"/>
  <c r="N66" i="57" s="1"/>
  <c r="F31" i="68" s="1"/>
  <c r="D63" i="57"/>
  <c r="N63" i="57" s="1" a="1"/>
  <c r="N63" i="57" s="1"/>
  <c r="D60" i="57"/>
  <c r="N60" i="57" s="1" a="1"/>
  <c r="N60" i="57" s="1"/>
  <c r="D61" i="57"/>
  <c r="N61" i="57" s="1" a="1"/>
  <c r="N61" i="57" s="1"/>
  <c r="D62" i="57"/>
  <c r="N62" i="57" s="1" a="1"/>
  <c r="N62" i="57" s="1"/>
  <c r="D59" i="57"/>
  <c r="N59" i="57" s="1" a="1"/>
  <c r="N59" i="57" s="1"/>
  <c r="D56" i="57"/>
  <c r="N56" i="57" s="1" a="1"/>
  <c r="N56" i="57" s="1"/>
  <c r="D57" i="57"/>
  <c r="N57" i="57" s="1" a="1"/>
  <c r="N57" i="57" s="1"/>
  <c r="D58" i="57"/>
  <c r="N58" i="57" s="1" a="1"/>
  <c r="N58" i="57" s="1"/>
  <c r="D55" i="57"/>
  <c r="N55" i="57" s="1" a="1"/>
  <c r="N55" i="57" s="1"/>
  <c r="D52" i="57"/>
  <c r="N52" i="57" s="1" a="1"/>
  <c r="N52" i="57" s="1"/>
  <c r="D53" i="57"/>
  <c r="N53" i="57" s="1" a="1"/>
  <c r="N53" i="57" s="1"/>
  <c r="D54" i="57"/>
  <c r="N54" i="57" s="1" a="1"/>
  <c r="N54" i="57" s="1"/>
  <c r="D51" i="57"/>
  <c r="N51" i="57" s="1" a="1"/>
  <c r="N51" i="57" s="1"/>
  <c r="D13" i="64" l="1"/>
  <c r="D13" i="63"/>
  <c r="D22" i="63" a="1"/>
  <c r="D22" i="63" s="1"/>
  <c r="I63" i="57" a="1"/>
  <c r="I63" i="57" s="1"/>
  <c r="D21" i="57" s="1"/>
  <c r="I59" i="57" a="1"/>
  <c r="I59" i="57" s="1"/>
  <c r="D20" i="57" s="1"/>
  <c r="I55" i="57" a="1"/>
  <c r="I55" i="57" s="1"/>
  <c r="D19" i="57" s="1"/>
  <c r="I51" i="57" a="1"/>
  <c r="I51" i="57" s="1"/>
  <c r="H36" i="64" a="1"/>
  <c r="H36" i="64" s="1"/>
  <c r="H36" i="63" a="1"/>
  <c r="H36" i="63" s="1"/>
  <c r="H36" i="62" a="1"/>
  <c r="H36" i="62" s="1"/>
  <c r="J52" i="63" a="1"/>
  <c r="J52" i="63" s="1"/>
  <c r="J13" i="63"/>
  <c r="H28" i="63" a="1"/>
  <c r="H28" i="63" s="1"/>
  <c r="D12" i="57" l="1" a="1"/>
  <c r="D12" i="57" s="1"/>
  <c r="D18" i="57"/>
  <c r="H28" i="64" a="1"/>
  <c r="H28" i="64" s="1"/>
  <c r="L24" i="71"/>
  <c r="J13" i="64" l="1"/>
  <c r="H1" i="62" s="1" a="1"/>
  <c r="H1" i="62" s="1"/>
  <c r="I67" i="71"/>
  <c r="I68" i="71"/>
  <c r="I69" i="71"/>
  <c r="I70" i="71"/>
  <c r="I71" i="71"/>
  <c r="I72" i="71"/>
  <c r="I73" i="71"/>
  <c r="I74" i="71"/>
  <c r="I75" i="71"/>
  <c r="I76" i="71"/>
  <c r="I77" i="71"/>
  <c r="I78" i="71"/>
  <c r="I79" i="71"/>
  <c r="I80" i="71"/>
  <c r="I81" i="71"/>
  <c r="I82" i="71"/>
  <c r="I83" i="71"/>
  <c r="I84" i="71"/>
  <c r="I85" i="71"/>
  <c r="I86" i="71"/>
  <c r="I87" i="71"/>
  <c r="I88" i="71"/>
  <c r="I89" i="71"/>
  <c r="I90" i="71"/>
  <c r="I91" i="71"/>
  <c r="I92" i="71"/>
  <c r="I93" i="71"/>
  <c r="I94" i="71"/>
  <c r="I95" i="71"/>
  <c r="I96" i="71"/>
  <c r="I66" i="71"/>
  <c r="I35" i="71"/>
  <c r="I36" i="71"/>
  <c r="I37" i="71"/>
  <c r="I38" i="71"/>
  <c r="I39" i="71"/>
  <c r="I40" i="71"/>
  <c r="I41" i="71"/>
  <c r="I42" i="71"/>
  <c r="I43" i="71"/>
  <c r="I44" i="71"/>
  <c r="I45" i="71"/>
  <c r="I46" i="71"/>
  <c r="I47" i="71"/>
  <c r="I48" i="71"/>
  <c r="I49" i="71"/>
  <c r="I50" i="71"/>
  <c r="I51" i="71"/>
  <c r="I52" i="71"/>
  <c r="I53" i="71"/>
  <c r="I54" i="71"/>
  <c r="I55" i="71"/>
  <c r="I56" i="71"/>
  <c r="I57" i="71"/>
  <c r="I58" i="71"/>
  <c r="I59" i="71"/>
  <c r="I60" i="71"/>
  <c r="I61" i="71"/>
  <c r="I62" i="71"/>
  <c r="I63" i="71"/>
  <c r="I64" i="71"/>
  <c r="I34" i="71"/>
  <c r="I3" i="71"/>
  <c r="I4" i="71"/>
  <c r="I5" i="71"/>
  <c r="I6" i="71"/>
  <c r="I7" i="71"/>
  <c r="I8" i="71"/>
  <c r="I9" i="71"/>
  <c r="I10" i="71"/>
  <c r="I11" i="71"/>
  <c r="I12" i="71"/>
  <c r="I13" i="71"/>
  <c r="I14" i="71"/>
  <c r="I15" i="71"/>
  <c r="I16" i="71"/>
  <c r="I17" i="71"/>
  <c r="I18" i="71"/>
  <c r="I19" i="71"/>
  <c r="I20" i="71"/>
  <c r="I21" i="71"/>
  <c r="I22" i="71"/>
  <c r="I23" i="71"/>
  <c r="I24" i="71"/>
  <c r="I25" i="71"/>
  <c r="I26" i="71"/>
  <c r="I27" i="71"/>
  <c r="I28" i="71"/>
  <c r="I29" i="71"/>
  <c r="I30" i="71"/>
  <c r="I31" i="71"/>
  <c r="I32" i="71"/>
  <c r="I2" i="71"/>
  <c r="I1" i="71"/>
  <c r="G22" i="64" l="1"/>
  <c r="G22" i="63"/>
  <c r="G22" i="62"/>
  <c r="M71" i="57"/>
  <c r="K50" i="57"/>
  <c r="F50" i="57"/>
  <c r="M17" i="57"/>
  <c r="M11" i="57"/>
  <c r="F17" i="57"/>
  <c r="F11" i="57"/>
  <c r="L71" i="57"/>
  <c r="J50" i="57"/>
  <c r="E50" i="57"/>
  <c r="L17" i="57"/>
  <c r="L11" i="57"/>
  <c r="E17" i="57"/>
  <c r="E11" i="57"/>
  <c r="N71" i="57"/>
  <c r="L50" i="57"/>
  <c r="G50" i="57"/>
  <c r="G17" i="57"/>
  <c r="N17" i="57"/>
  <c r="N11" i="57"/>
  <c r="G11" i="57"/>
  <c r="J43" i="57" l="1"/>
  <c r="J40" i="57"/>
  <c r="D43" i="57"/>
  <c r="D40" i="57"/>
  <c r="B43" i="57"/>
  <c r="B40" i="57"/>
  <c r="I17" i="57"/>
  <c r="J11" i="57" l="1"/>
  <c r="H19" i="57" l="1"/>
  <c r="H20" i="57"/>
  <c r="H21" i="57"/>
  <c r="M3" i="74" l="1"/>
  <c r="N3" i="74"/>
  <c r="O3" i="74"/>
  <c r="M4" i="74"/>
  <c r="N4" i="74"/>
  <c r="O4" i="74"/>
  <c r="M5" i="74"/>
  <c r="N5" i="74"/>
  <c r="O5" i="74"/>
  <c r="M7" i="74"/>
  <c r="N7" i="74"/>
  <c r="O7" i="74"/>
  <c r="M8" i="74"/>
  <c r="N8" i="74"/>
  <c r="O8" i="74"/>
  <c r="M9" i="74"/>
  <c r="N9" i="74"/>
  <c r="O9" i="74"/>
  <c r="M10" i="74"/>
  <c r="N10" i="74"/>
  <c r="O10" i="74"/>
  <c r="M12" i="74"/>
  <c r="N12" i="74"/>
  <c r="O12" i="74"/>
  <c r="M1" i="74"/>
  <c r="N1" i="74"/>
  <c r="O1" i="74"/>
  <c r="K1" i="74"/>
  <c r="L1" i="74"/>
  <c r="J1" i="74"/>
  <c r="H12" i="74" l="1"/>
  <c r="H11" i="74"/>
  <c r="I3" i="74"/>
  <c r="I4" i="74"/>
  <c r="I5" i="74"/>
  <c r="I6" i="74"/>
  <c r="I7" i="74"/>
  <c r="I8" i="74"/>
  <c r="I9" i="74"/>
  <c r="I10" i="74"/>
  <c r="I11" i="74"/>
  <c r="I12" i="74"/>
  <c r="I2" i="74"/>
  <c r="I1" i="74"/>
  <c r="H7" i="74"/>
  <c r="H8" i="74"/>
  <c r="H9" i="74"/>
  <c r="H10" i="74"/>
  <c r="H6" i="74"/>
  <c r="H3" i="74"/>
  <c r="H4" i="74"/>
  <c r="H5" i="74"/>
  <c r="H2" i="74"/>
  <c r="G3" i="74" a="1"/>
  <c r="G3" i="74" s="1"/>
  <c r="G4" i="74" a="1"/>
  <c r="G4" i="74" s="1"/>
  <c r="G5" i="74" a="1"/>
  <c r="G5" i="74" s="1"/>
  <c r="G6" i="74" a="1"/>
  <c r="G6" i="74" s="1"/>
  <c r="G7" i="74" a="1"/>
  <c r="G7" i="74" s="1"/>
  <c r="G8" i="74" a="1"/>
  <c r="G8" i="74" s="1"/>
  <c r="G9" i="74" a="1"/>
  <c r="G9" i="74" s="1"/>
  <c r="G10" i="74" a="1"/>
  <c r="G10" i="74" s="1"/>
  <c r="G11" i="74" a="1"/>
  <c r="G11" i="74" s="1"/>
  <c r="G12" i="74" a="1"/>
  <c r="G12" i="74" s="1"/>
  <c r="G2" i="74" a="1"/>
  <c r="G2" i="74" s="1"/>
  <c r="F3" i="74" a="1"/>
  <c r="F3" i="74" s="1"/>
  <c r="F4" i="74" a="1"/>
  <c r="F4" i="74" s="1"/>
  <c r="F5" i="74" a="1"/>
  <c r="F5" i="74" s="1"/>
  <c r="F6" i="74" a="1"/>
  <c r="F6" i="74" s="1"/>
  <c r="F7" i="74" a="1"/>
  <c r="F7" i="74" s="1"/>
  <c r="F8" i="74" a="1"/>
  <c r="F8" i="74" s="1"/>
  <c r="F9" i="74" a="1"/>
  <c r="F9" i="74" s="1"/>
  <c r="F10" i="74" a="1"/>
  <c r="F10" i="74" s="1"/>
  <c r="F11" i="74" a="1"/>
  <c r="F11" i="74" s="1"/>
  <c r="F12" i="74" a="1"/>
  <c r="F12" i="74" s="1"/>
  <c r="F2" i="74" a="1"/>
  <c r="F2" i="74" s="1"/>
  <c r="E3" i="74" a="1"/>
  <c r="E3" i="74" s="1"/>
  <c r="E4" i="74" a="1"/>
  <c r="E4" i="74" s="1"/>
  <c r="E5" i="74" a="1"/>
  <c r="E5" i="74" s="1"/>
  <c r="E6" i="74" a="1"/>
  <c r="E6" i="74" s="1"/>
  <c r="E7" i="74" a="1"/>
  <c r="E7" i="74" s="1"/>
  <c r="E8" i="74" a="1"/>
  <c r="E8" i="74" s="1"/>
  <c r="E9" i="74" a="1"/>
  <c r="E9" i="74" s="1"/>
  <c r="E10" i="74" a="1"/>
  <c r="E10" i="74" s="1"/>
  <c r="E11" i="74" a="1"/>
  <c r="E11" i="74" s="1"/>
  <c r="E12" i="74" a="1"/>
  <c r="E12" i="74" s="1"/>
  <c r="E2" i="74" a="1"/>
  <c r="E2" i="74" s="1"/>
  <c r="D3" i="74" a="1"/>
  <c r="D3" i="74" s="1"/>
  <c r="D4" i="74" a="1"/>
  <c r="D4" i="74" s="1"/>
  <c r="D5" i="74" a="1"/>
  <c r="D5" i="74" s="1"/>
  <c r="D6" i="74" a="1"/>
  <c r="D6" i="74" s="1"/>
  <c r="D7" i="74" a="1"/>
  <c r="D7" i="74" s="1"/>
  <c r="D8" i="74" a="1"/>
  <c r="D8" i="74" s="1"/>
  <c r="D9" i="74" a="1"/>
  <c r="D9" i="74" s="1"/>
  <c r="D10" i="74" a="1"/>
  <c r="D10" i="74" s="1"/>
  <c r="D11" i="74" a="1"/>
  <c r="D11" i="74" s="1"/>
  <c r="D12" i="74" a="1"/>
  <c r="D12" i="74" s="1"/>
  <c r="D2" i="74" a="1"/>
  <c r="D2" i="74" s="1"/>
  <c r="B2" i="74" a="1"/>
  <c r="B2" i="74" s="1"/>
  <c r="B4" i="74" a="1"/>
  <c r="B4" i="74" s="1"/>
  <c r="B5" i="74" a="1"/>
  <c r="B5" i="74" s="1"/>
  <c r="B6" i="74" a="1"/>
  <c r="B6" i="74" s="1"/>
  <c r="B7" i="74" a="1"/>
  <c r="B7" i="74" s="1"/>
  <c r="B8" i="74" a="1"/>
  <c r="B8" i="74" s="1"/>
  <c r="B9" i="74" a="1"/>
  <c r="B9" i="74" s="1"/>
  <c r="B10" i="74" a="1"/>
  <c r="B10" i="74" s="1"/>
  <c r="B11" i="74" a="1"/>
  <c r="B11" i="74" s="1"/>
  <c r="B12" i="74" a="1"/>
  <c r="B12" i="74" s="1"/>
  <c r="B3" i="74" a="1"/>
  <c r="B3" i="74" s="1"/>
  <c r="X67" i="71"/>
  <c r="X68" i="71"/>
  <c r="X69" i="71"/>
  <c r="X70" i="71"/>
  <c r="X71" i="71"/>
  <c r="X72" i="71"/>
  <c r="X73" i="71"/>
  <c r="X74" i="71"/>
  <c r="X75" i="71"/>
  <c r="X76" i="71"/>
  <c r="X77" i="71"/>
  <c r="X78" i="71"/>
  <c r="X79" i="71"/>
  <c r="X80" i="71"/>
  <c r="X81" i="71"/>
  <c r="X82" i="71"/>
  <c r="X83" i="71"/>
  <c r="X84" i="71"/>
  <c r="X85" i="71"/>
  <c r="X86" i="71"/>
  <c r="X87" i="71"/>
  <c r="X88" i="71"/>
  <c r="X89" i="71"/>
  <c r="X90" i="71"/>
  <c r="X91" i="71"/>
  <c r="X92" i="71"/>
  <c r="X93" i="71"/>
  <c r="X94" i="71"/>
  <c r="X95" i="71"/>
  <c r="X96" i="71"/>
  <c r="W67" i="71"/>
  <c r="W68" i="71"/>
  <c r="W69" i="71"/>
  <c r="W70" i="71"/>
  <c r="W71" i="71"/>
  <c r="W72" i="71"/>
  <c r="W73" i="71"/>
  <c r="W74" i="71"/>
  <c r="W75" i="71"/>
  <c r="W76" i="71"/>
  <c r="W77" i="71"/>
  <c r="W78" i="71"/>
  <c r="W79" i="71"/>
  <c r="W80" i="71"/>
  <c r="W81" i="71"/>
  <c r="W82" i="71"/>
  <c r="W83" i="71"/>
  <c r="W84" i="71"/>
  <c r="W85" i="71"/>
  <c r="W86" i="71"/>
  <c r="W87" i="71"/>
  <c r="W88" i="71"/>
  <c r="W89" i="71"/>
  <c r="W90" i="71"/>
  <c r="W91" i="71"/>
  <c r="W92" i="71"/>
  <c r="W93" i="71"/>
  <c r="W94" i="71"/>
  <c r="W95" i="71"/>
  <c r="W96" i="71"/>
  <c r="W66" i="71"/>
  <c r="X66" i="71"/>
  <c r="X37" i="71"/>
  <c r="X38" i="71"/>
  <c r="X39" i="71"/>
  <c r="X40" i="71"/>
  <c r="X41" i="71"/>
  <c r="X42" i="71"/>
  <c r="X43" i="71"/>
  <c r="X44" i="71"/>
  <c r="X45" i="71"/>
  <c r="X46" i="71"/>
  <c r="X47" i="71"/>
  <c r="X48" i="71"/>
  <c r="X49" i="71"/>
  <c r="X50" i="71"/>
  <c r="X51" i="71"/>
  <c r="X52" i="71"/>
  <c r="X53" i="71"/>
  <c r="X54" i="71"/>
  <c r="X55" i="71"/>
  <c r="X56" i="71"/>
  <c r="X57" i="71"/>
  <c r="X58" i="71"/>
  <c r="X59" i="71"/>
  <c r="X60" i="71"/>
  <c r="X61" i="71"/>
  <c r="X62" i="71"/>
  <c r="X63" i="71"/>
  <c r="X64" i="71"/>
  <c r="W35" i="71"/>
  <c r="W36" i="71"/>
  <c r="W37" i="71"/>
  <c r="W38" i="71"/>
  <c r="W39" i="71"/>
  <c r="W40" i="71"/>
  <c r="W41" i="71"/>
  <c r="W42" i="71"/>
  <c r="W43" i="71"/>
  <c r="W44" i="71"/>
  <c r="W45" i="71"/>
  <c r="W46" i="71"/>
  <c r="W47" i="71"/>
  <c r="W48" i="71"/>
  <c r="W49" i="71"/>
  <c r="W50" i="71"/>
  <c r="W51" i="71"/>
  <c r="W52" i="71"/>
  <c r="W53" i="71"/>
  <c r="W54" i="71"/>
  <c r="W55" i="71"/>
  <c r="W56" i="71"/>
  <c r="W57" i="71"/>
  <c r="W58" i="71"/>
  <c r="W59" i="71"/>
  <c r="W60" i="71"/>
  <c r="W61" i="71"/>
  <c r="W62" i="71"/>
  <c r="W63" i="71"/>
  <c r="W64" i="71"/>
  <c r="W34" i="71"/>
  <c r="X3" i="71"/>
  <c r="X4" i="71"/>
  <c r="X5" i="71"/>
  <c r="X6" i="71"/>
  <c r="X7" i="71"/>
  <c r="X8" i="71"/>
  <c r="X9" i="71"/>
  <c r="X10" i="71"/>
  <c r="X11" i="71"/>
  <c r="X12" i="71"/>
  <c r="X13" i="71"/>
  <c r="X14" i="71"/>
  <c r="X15" i="71"/>
  <c r="X16" i="71"/>
  <c r="X17" i="71"/>
  <c r="X18" i="71"/>
  <c r="X19" i="71"/>
  <c r="X20" i="71"/>
  <c r="X21" i="71"/>
  <c r="X22" i="71"/>
  <c r="X23" i="71"/>
  <c r="X24" i="71"/>
  <c r="X25" i="71"/>
  <c r="X26" i="71"/>
  <c r="X27" i="71"/>
  <c r="X28" i="71"/>
  <c r="X29" i="71"/>
  <c r="X30" i="71"/>
  <c r="X31" i="71"/>
  <c r="X32" i="71"/>
  <c r="W3" i="71"/>
  <c r="W4" i="71"/>
  <c r="W5" i="71"/>
  <c r="W6" i="71"/>
  <c r="W7" i="71"/>
  <c r="W8" i="71"/>
  <c r="W9" i="71"/>
  <c r="W10" i="71"/>
  <c r="W11" i="71"/>
  <c r="W12" i="71"/>
  <c r="W13" i="71"/>
  <c r="W14" i="71"/>
  <c r="W15" i="71"/>
  <c r="W16" i="71"/>
  <c r="W17" i="71"/>
  <c r="W18" i="71"/>
  <c r="W19" i="71"/>
  <c r="W20" i="71"/>
  <c r="W21" i="71"/>
  <c r="W22" i="71"/>
  <c r="W23" i="71"/>
  <c r="W24" i="71"/>
  <c r="W25" i="71"/>
  <c r="W26" i="71"/>
  <c r="W27" i="71"/>
  <c r="W28" i="71"/>
  <c r="W29" i="71"/>
  <c r="W30" i="71"/>
  <c r="W31" i="71"/>
  <c r="W32" i="71"/>
  <c r="X2" i="71"/>
  <c r="W2" i="71"/>
  <c r="X1" i="71"/>
  <c r="W1" i="71"/>
  <c r="M28" i="63" a="1"/>
  <c r="M28" i="63" s="1"/>
  <c r="X36" i="71" s="1"/>
  <c r="M27" i="63" a="1"/>
  <c r="M27" i="63" s="1"/>
  <c r="X35" i="71" s="1"/>
  <c r="H56" i="64" a="1"/>
  <c r="H56" i="64" s="1"/>
  <c r="H55" i="64" a="1"/>
  <c r="H55" i="64" s="1"/>
  <c r="H54" i="64" a="1"/>
  <c r="H54" i="64" s="1"/>
  <c r="H53" i="64" a="1"/>
  <c r="H53" i="64" s="1"/>
  <c r="H52" i="64" a="1"/>
  <c r="H52" i="64" s="1"/>
  <c r="H51" i="64" a="1"/>
  <c r="H51" i="64" s="1"/>
  <c r="H50" i="64" a="1"/>
  <c r="H50" i="64" s="1"/>
  <c r="H49" i="64" a="1"/>
  <c r="H49" i="64" s="1"/>
  <c r="H48" i="64" a="1"/>
  <c r="H48" i="64" s="1"/>
  <c r="H47" i="64" a="1"/>
  <c r="H47" i="64" s="1"/>
  <c r="H46" i="64" a="1"/>
  <c r="H46" i="64" s="1"/>
  <c r="H45" i="64" a="1"/>
  <c r="H45" i="64" s="1"/>
  <c r="H44" i="64" a="1"/>
  <c r="H44" i="64" s="1"/>
  <c r="H43" i="64" a="1"/>
  <c r="H43" i="64" s="1"/>
  <c r="H42" i="64" a="1"/>
  <c r="H42" i="64" s="1"/>
  <c r="H41" i="64" a="1"/>
  <c r="H41" i="64" s="1"/>
  <c r="H40" i="64" a="1"/>
  <c r="H40" i="64" s="1"/>
  <c r="H39" i="64" a="1"/>
  <c r="H39" i="64" s="1"/>
  <c r="H38" i="64" a="1"/>
  <c r="H38" i="64" s="1"/>
  <c r="H37" i="64" a="1"/>
  <c r="H37" i="64" s="1"/>
  <c r="H35" i="64" a="1"/>
  <c r="H35" i="64" s="1"/>
  <c r="H34" i="64" a="1"/>
  <c r="H34" i="64" s="1"/>
  <c r="H33" i="64" a="1"/>
  <c r="H33" i="64" s="1"/>
  <c r="H32" i="64" a="1"/>
  <c r="H32" i="64" s="1"/>
  <c r="H31" i="64" a="1"/>
  <c r="H31" i="64" s="1"/>
  <c r="H30" i="64" a="1"/>
  <c r="H30" i="64" s="1"/>
  <c r="H29" i="64" a="1"/>
  <c r="H29" i="64" s="1"/>
  <c r="H27" i="64" a="1"/>
  <c r="H27" i="64" s="1"/>
  <c r="H26" i="64" a="1"/>
  <c r="H26" i="64" s="1"/>
  <c r="H56" i="63" a="1"/>
  <c r="H56" i="63" s="1"/>
  <c r="H55" i="63" a="1"/>
  <c r="H55" i="63" s="1"/>
  <c r="H54" i="63" a="1"/>
  <c r="H54" i="63" s="1"/>
  <c r="H53" i="63" a="1"/>
  <c r="H53" i="63" s="1"/>
  <c r="H52" i="63" a="1"/>
  <c r="H52" i="63" s="1"/>
  <c r="H51" i="63" a="1"/>
  <c r="H51" i="63" s="1"/>
  <c r="H50" i="63" a="1"/>
  <c r="H50" i="63" s="1"/>
  <c r="H49" i="63" a="1"/>
  <c r="H49" i="63" s="1"/>
  <c r="H48" i="63" a="1"/>
  <c r="H48" i="63" s="1"/>
  <c r="H47" i="63" a="1"/>
  <c r="H47" i="63" s="1"/>
  <c r="H46" i="63" a="1"/>
  <c r="H46" i="63" s="1"/>
  <c r="H45" i="63" a="1"/>
  <c r="H45" i="63" s="1"/>
  <c r="H44" i="63" a="1"/>
  <c r="H44" i="63" s="1"/>
  <c r="H43" i="63" a="1"/>
  <c r="H43" i="63" s="1"/>
  <c r="H42" i="63" a="1"/>
  <c r="H42" i="63" s="1"/>
  <c r="H41" i="63" a="1"/>
  <c r="H41" i="63" s="1"/>
  <c r="H40" i="63" a="1"/>
  <c r="H40" i="63" s="1"/>
  <c r="H39" i="63" a="1"/>
  <c r="H39" i="63" s="1"/>
  <c r="H38" i="63" a="1"/>
  <c r="H38" i="63" s="1"/>
  <c r="H37" i="63" a="1"/>
  <c r="H37" i="63" s="1"/>
  <c r="H35" i="63" a="1"/>
  <c r="H35" i="63" s="1"/>
  <c r="H34" i="63" a="1"/>
  <c r="H34" i="63" s="1"/>
  <c r="H33" i="63" a="1"/>
  <c r="H33" i="63" s="1"/>
  <c r="H32" i="63" a="1"/>
  <c r="H32" i="63" s="1"/>
  <c r="H31" i="63" a="1"/>
  <c r="H31" i="63" s="1"/>
  <c r="H30" i="63" a="1"/>
  <c r="H30" i="63" s="1"/>
  <c r="H29" i="63" a="1"/>
  <c r="H29" i="63" s="1"/>
  <c r="H27" i="63" a="1"/>
  <c r="H27" i="63" s="1"/>
  <c r="H26" i="63" a="1"/>
  <c r="H26" i="63" s="1"/>
  <c r="H55" i="62" a="1"/>
  <c r="H55" i="62" s="1"/>
  <c r="H54" i="62" a="1"/>
  <c r="H54" i="62" s="1"/>
  <c r="H53" i="62" a="1"/>
  <c r="H53" i="62" s="1"/>
  <c r="H52" i="62" a="1"/>
  <c r="H52" i="62" s="1"/>
  <c r="H51" i="62" a="1"/>
  <c r="H51" i="62" s="1"/>
  <c r="H50" i="62" a="1"/>
  <c r="H50" i="62" s="1"/>
  <c r="H49" i="62" a="1"/>
  <c r="H49" i="62" s="1"/>
  <c r="H48" i="62" a="1"/>
  <c r="H48" i="62" s="1"/>
  <c r="H47" i="62" a="1"/>
  <c r="H47" i="62" s="1"/>
  <c r="H46" i="62" a="1"/>
  <c r="H46" i="62" s="1"/>
  <c r="H45" i="62" a="1"/>
  <c r="H45" i="62" s="1"/>
  <c r="H44" i="62" a="1"/>
  <c r="H44" i="62" s="1"/>
  <c r="H43" i="62" a="1"/>
  <c r="H43" i="62" s="1"/>
  <c r="H42" i="62" a="1"/>
  <c r="H42" i="62" s="1"/>
  <c r="H41" i="62" a="1"/>
  <c r="H41" i="62" s="1"/>
  <c r="H40" i="62" a="1"/>
  <c r="H40" i="62" s="1"/>
  <c r="H39" i="62" a="1"/>
  <c r="H39" i="62" s="1"/>
  <c r="H38" i="62" a="1"/>
  <c r="H38" i="62" s="1"/>
  <c r="H37" i="62" a="1"/>
  <c r="H37" i="62" s="1"/>
  <c r="H35" i="62" a="1"/>
  <c r="H35" i="62" s="1"/>
  <c r="H34" i="62" a="1"/>
  <c r="H34" i="62" s="1"/>
  <c r="H33" i="62" a="1"/>
  <c r="H33" i="62" s="1"/>
  <c r="H32" i="62" a="1"/>
  <c r="H32" i="62" s="1"/>
  <c r="H31" i="62" a="1"/>
  <c r="H31" i="62" s="1"/>
  <c r="H30" i="62" a="1"/>
  <c r="H30" i="62" s="1"/>
  <c r="H29" i="62" a="1"/>
  <c r="H29" i="62" s="1"/>
  <c r="H27" i="62" a="1"/>
  <c r="H27" i="62" s="1"/>
  <c r="H26" i="62" a="1"/>
  <c r="H26" i="62" s="1"/>
  <c r="P96" i="71" l="1"/>
  <c r="P95" i="71"/>
  <c r="P94" i="71"/>
  <c r="P93" i="71"/>
  <c r="P92" i="71"/>
  <c r="P91" i="71"/>
  <c r="P90" i="71"/>
  <c r="P89" i="71"/>
  <c r="P88" i="71"/>
  <c r="P87" i="71"/>
  <c r="P86" i="71"/>
  <c r="P85" i="71"/>
  <c r="P84" i="71"/>
  <c r="P83" i="71"/>
  <c r="P82" i="71"/>
  <c r="P81" i="71"/>
  <c r="P80" i="71"/>
  <c r="P79" i="71"/>
  <c r="P78" i="71"/>
  <c r="P77" i="71"/>
  <c r="P76" i="71"/>
  <c r="P75" i="71"/>
  <c r="P74" i="71"/>
  <c r="P73" i="71"/>
  <c r="P72" i="71"/>
  <c r="P71" i="71"/>
  <c r="P70" i="71"/>
  <c r="P69" i="71"/>
  <c r="P68" i="71"/>
  <c r="P67" i="71"/>
  <c r="P66" i="71"/>
  <c r="P64" i="71"/>
  <c r="P63" i="71"/>
  <c r="P62" i="71"/>
  <c r="P61" i="71"/>
  <c r="P60" i="71"/>
  <c r="P59" i="71"/>
  <c r="P58" i="71"/>
  <c r="P57" i="71"/>
  <c r="P56" i="71"/>
  <c r="P55" i="71"/>
  <c r="P54" i="71"/>
  <c r="P53" i="71"/>
  <c r="P52" i="71"/>
  <c r="P51" i="71"/>
  <c r="P50" i="71"/>
  <c r="P49" i="71"/>
  <c r="P48" i="71"/>
  <c r="P47" i="71"/>
  <c r="P46" i="71"/>
  <c r="P45" i="71"/>
  <c r="P44" i="71"/>
  <c r="P43" i="71"/>
  <c r="P42" i="71"/>
  <c r="P41" i="71"/>
  <c r="P40" i="71"/>
  <c r="P39" i="71"/>
  <c r="P38" i="71"/>
  <c r="P37" i="71"/>
  <c r="P36" i="71"/>
  <c r="P35" i="71"/>
  <c r="P34" i="71"/>
  <c r="P32" i="71"/>
  <c r="P31" i="71"/>
  <c r="P30" i="71"/>
  <c r="P29" i="71"/>
  <c r="P28" i="71"/>
  <c r="P27" i="71"/>
  <c r="P26" i="71"/>
  <c r="P25" i="71"/>
  <c r="P24" i="71"/>
  <c r="P23" i="71"/>
  <c r="P22" i="71"/>
  <c r="P21" i="71"/>
  <c r="P20" i="71"/>
  <c r="P19" i="71"/>
  <c r="P18" i="71"/>
  <c r="P17" i="71"/>
  <c r="P16" i="71"/>
  <c r="P15" i="71"/>
  <c r="P14" i="71"/>
  <c r="P13" i="71"/>
  <c r="P12" i="71"/>
  <c r="P11" i="71"/>
  <c r="P10" i="71"/>
  <c r="P9" i="71"/>
  <c r="P8" i="71"/>
  <c r="P7" i="71"/>
  <c r="P6" i="71"/>
  <c r="P5" i="71"/>
  <c r="P4" i="71"/>
  <c r="P3" i="71"/>
  <c r="P2" i="71"/>
  <c r="F12" i="72" a="1"/>
  <c r="F12" i="72" s="1"/>
  <c r="E12" i="72" a="1"/>
  <c r="E12" i="72" s="1"/>
  <c r="K2" i="74" l="1"/>
  <c r="L2" i="74"/>
  <c r="E60" i="57" a="1"/>
  <c r="E60" i="57" s="1"/>
  <c r="F22" i="72" a="1"/>
  <c r="F22" i="72" s="1"/>
  <c r="E22" i="72" a="1"/>
  <c r="E22" i="72" s="1"/>
  <c r="D22" i="72" a="1"/>
  <c r="D22" i="72" s="1"/>
  <c r="F21" i="72" a="1"/>
  <c r="F21" i="72" s="1"/>
  <c r="L11" i="74" s="1"/>
  <c r="E21" i="72" a="1"/>
  <c r="E21" i="72" s="1"/>
  <c r="D21" i="72" a="1"/>
  <c r="D21" i="72" s="1"/>
  <c r="F20" i="72" a="1"/>
  <c r="F20" i="72" s="1"/>
  <c r="E20" i="72" a="1"/>
  <c r="E20" i="72" s="1"/>
  <c r="D20" i="72" a="1"/>
  <c r="D20" i="72" s="1"/>
  <c r="F19" i="72" a="1"/>
  <c r="F19" i="72" s="1"/>
  <c r="E19" i="72" a="1"/>
  <c r="E19" i="72" s="1"/>
  <c r="D19" i="72" a="1"/>
  <c r="D19" i="72" s="1"/>
  <c r="F18" i="72" a="1"/>
  <c r="F18" i="72" s="1"/>
  <c r="E18" i="72" a="1"/>
  <c r="E18" i="72" s="1"/>
  <c r="D18" i="72" a="1"/>
  <c r="D18" i="72" s="1"/>
  <c r="F17" i="72" a="1"/>
  <c r="F17" i="72" s="1"/>
  <c r="E17" i="72" a="1"/>
  <c r="E17" i="72" s="1"/>
  <c r="D17" i="72" a="1"/>
  <c r="D17" i="72" s="1"/>
  <c r="F16" i="72" a="1"/>
  <c r="F16" i="72" s="1"/>
  <c r="E16" i="72" a="1"/>
  <c r="E16" i="72" s="1"/>
  <c r="D16" i="72" a="1"/>
  <c r="D16" i="72" s="1"/>
  <c r="F15" i="72" a="1"/>
  <c r="F15" i="72" s="1"/>
  <c r="E15" i="72" a="1"/>
  <c r="E15" i="72" s="1"/>
  <c r="D15" i="72" a="1"/>
  <c r="D15" i="72" s="1"/>
  <c r="F14" i="72" a="1"/>
  <c r="F14" i="72" s="1"/>
  <c r="E14" i="72" a="1"/>
  <c r="E14" i="72" s="1"/>
  <c r="D14" i="72" a="1"/>
  <c r="D14" i="72" s="1"/>
  <c r="F13" i="72" a="1"/>
  <c r="F13" i="72" s="1"/>
  <c r="E13" i="72" a="1"/>
  <c r="E13" i="72" s="1"/>
  <c r="D13" i="72" a="1"/>
  <c r="D13" i="72" s="1"/>
  <c r="D12" i="72" a="1"/>
  <c r="D12" i="72" s="1"/>
  <c r="T96" i="71"/>
  <c r="R96" i="71"/>
  <c r="Q96" i="71"/>
  <c r="M96" i="71"/>
  <c r="L96" i="71"/>
  <c r="K96" i="71"/>
  <c r="J96" i="71"/>
  <c r="H96" i="71"/>
  <c r="G96" i="71"/>
  <c r="F96" i="71"/>
  <c r="E96" i="71"/>
  <c r="D96" i="71"/>
  <c r="B96" i="71"/>
  <c r="T95" i="71"/>
  <c r="R95" i="71"/>
  <c r="Q95" i="71"/>
  <c r="M95" i="71"/>
  <c r="L95" i="71"/>
  <c r="K95" i="71"/>
  <c r="J95" i="71"/>
  <c r="H95" i="71"/>
  <c r="G95" i="71"/>
  <c r="F95" i="71"/>
  <c r="E95" i="71"/>
  <c r="D95" i="71"/>
  <c r="B95" i="71"/>
  <c r="T94" i="71"/>
  <c r="R94" i="71"/>
  <c r="Q94" i="71"/>
  <c r="M94" i="71"/>
  <c r="L94" i="71"/>
  <c r="K94" i="71"/>
  <c r="J94" i="71"/>
  <c r="H94" i="71"/>
  <c r="G94" i="71"/>
  <c r="F94" i="71"/>
  <c r="E94" i="71"/>
  <c r="D94" i="71"/>
  <c r="B94" i="71"/>
  <c r="T93" i="71"/>
  <c r="R93" i="71"/>
  <c r="Q93" i="71"/>
  <c r="M93" i="71"/>
  <c r="L93" i="71"/>
  <c r="K93" i="71"/>
  <c r="J93" i="71"/>
  <c r="H93" i="71"/>
  <c r="G93" i="71"/>
  <c r="F93" i="71"/>
  <c r="E93" i="71"/>
  <c r="D93" i="71"/>
  <c r="B93" i="71"/>
  <c r="T92" i="71"/>
  <c r="R92" i="71"/>
  <c r="Q92" i="71"/>
  <c r="M92" i="71"/>
  <c r="L92" i="71"/>
  <c r="K92" i="71"/>
  <c r="J92" i="71"/>
  <c r="H92" i="71"/>
  <c r="G92" i="71"/>
  <c r="F92" i="71"/>
  <c r="E92" i="71"/>
  <c r="D92" i="71"/>
  <c r="B92" i="71"/>
  <c r="T91" i="71"/>
  <c r="R91" i="71"/>
  <c r="Q91" i="71"/>
  <c r="M91" i="71"/>
  <c r="L91" i="71"/>
  <c r="K91" i="71"/>
  <c r="J91" i="71"/>
  <c r="H91" i="71"/>
  <c r="G91" i="71"/>
  <c r="F91" i="71"/>
  <c r="E91" i="71"/>
  <c r="D91" i="71"/>
  <c r="B91" i="71"/>
  <c r="T90" i="71"/>
  <c r="R90" i="71"/>
  <c r="Q90" i="71"/>
  <c r="M90" i="71"/>
  <c r="L90" i="71"/>
  <c r="K90" i="71"/>
  <c r="J90" i="71"/>
  <c r="H90" i="71"/>
  <c r="G90" i="71"/>
  <c r="F90" i="71"/>
  <c r="E90" i="71"/>
  <c r="D90" i="71"/>
  <c r="B90" i="71"/>
  <c r="T89" i="71"/>
  <c r="R89" i="71"/>
  <c r="Q89" i="71"/>
  <c r="M89" i="71"/>
  <c r="L89" i="71"/>
  <c r="K89" i="71"/>
  <c r="J89" i="71"/>
  <c r="H89" i="71"/>
  <c r="G89" i="71"/>
  <c r="F89" i="71"/>
  <c r="E89" i="71"/>
  <c r="D89" i="71"/>
  <c r="B89" i="71"/>
  <c r="T88" i="71"/>
  <c r="R88" i="71"/>
  <c r="Q88" i="71"/>
  <c r="M88" i="71"/>
  <c r="L88" i="71"/>
  <c r="K88" i="71"/>
  <c r="J88" i="71"/>
  <c r="H88" i="71"/>
  <c r="G88" i="71"/>
  <c r="F88" i="71"/>
  <c r="E88" i="71"/>
  <c r="D88" i="71"/>
  <c r="B88" i="71"/>
  <c r="T87" i="71"/>
  <c r="R87" i="71"/>
  <c r="Q87" i="71"/>
  <c r="M87" i="71"/>
  <c r="L87" i="71"/>
  <c r="K87" i="71"/>
  <c r="J87" i="71"/>
  <c r="H87" i="71"/>
  <c r="G87" i="71"/>
  <c r="F87" i="71"/>
  <c r="E87" i="71"/>
  <c r="D87" i="71"/>
  <c r="B87" i="71"/>
  <c r="T86" i="71"/>
  <c r="R86" i="71"/>
  <c r="Q86" i="71"/>
  <c r="M86" i="71"/>
  <c r="L86" i="71"/>
  <c r="K86" i="71"/>
  <c r="J86" i="71"/>
  <c r="H86" i="71"/>
  <c r="G86" i="71"/>
  <c r="F86" i="71"/>
  <c r="E86" i="71"/>
  <c r="D86" i="71"/>
  <c r="B86" i="71"/>
  <c r="T85" i="71"/>
  <c r="R85" i="71"/>
  <c r="Q85" i="71"/>
  <c r="M85" i="71"/>
  <c r="L85" i="71"/>
  <c r="K85" i="71"/>
  <c r="J85" i="71"/>
  <c r="H85" i="71"/>
  <c r="G85" i="71"/>
  <c r="F85" i="71"/>
  <c r="E85" i="71"/>
  <c r="D85" i="71"/>
  <c r="B85" i="71"/>
  <c r="T84" i="71"/>
  <c r="R84" i="71"/>
  <c r="Q84" i="71"/>
  <c r="M84" i="71"/>
  <c r="L84" i="71"/>
  <c r="K84" i="71"/>
  <c r="J84" i="71"/>
  <c r="H84" i="71"/>
  <c r="G84" i="71"/>
  <c r="F84" i="71"/>
  <c r="E84" i="71"/>
  <c r="D84" i="71"/>
  <c r="B84" i="71"/>
  <c r="T83" i="71"/>
  <c r="R83" i="71"/>
  <c r="Q83" i="71"/>
  <c r="M83" i="71"/>
  <c r="L83" i="71"/>
  <c r="K83" i="71"/>
  <c r="J83" i="71"/>
  <c r="H83" i="71"/>
  <c r="G83" i="71"/>
  <c r="F83" i="71"/>
  <c r="E83" i="71"/>
  <c r="D83" i="71"/>
  <c r="B83" i="71"/>
  <c r="T82" i="71"/>
  <c r="R82" i="71"/>
  <c r="Q82" i="71"/>
  <c r="M82" i="71"/>
  <c r="L82" i="71"/>
  <c r="K82" i="71"/>
  <c r="J82" i="71"/>
  <c r="H82" i="71"/>
  <c r="G82" i="71"/>
  <c r="F82" i="71"/>
  <c r="E82" i="71"/>
  <c r="D82" i="71"/>
  <c r="B82" i="71"/>
  <c r="T81" i="71"/>
  <c r="R81" i="71"/>
  <c r="Q81" i="71"/>
  <c r="M81" i="71"/>
  <c r="L81" i="71"/>
  <c r="K81" i="71"/>
  <c r="J81" i="71"/>
  <c r="H81" i="71"/>
  <c r="G81" i="71"/>
  <c r="F81" i="71"/>
  <c r="E81" i="71"/>
  <c r="D81" i="71"/>
  <c r="B81" i="71"/>
  <c r="T80" i="71"/>
  <c r="R80" i="71"/>
  <c r="Q80" i="71"/>
  <c r="M80" i="71"/>
  <c r="L80" i="71"/>
  <c r="K80" i="71"/>
  <c r="J80" i="71"/>
  <c r="H80" i="71"/>
  <c r="G80" i="71"/>
  <c r="F80" i="71"/>
  <c r="E80" i="71"/>
  <c r="D80" i="71"/>
  <c r="B80" i="71"/>
  <c r="T79" i="71"/>
  <c r="R79" i="71"/>
  <c r="Q79" i="71"/>
  <c r="M79" i="71"/>
  <c r="L79" i="71"/>
  <c r="K79" i="71"/>
  <c r="J79" i="71"/>
  <c r="H79" i="71"/>
  <c r="G79" i="71"/>
  <c r="F79" i="71"/>
  <c r="E79" i="71"/>
  <c r="D79" i="71"/>
  <c r="B79" i="71"/>
  <c r="T78" i="71"/>
  <c r="R78" i="71"/>
  <c r="Q78" i="71"/>
  <c r="M78" i="71"/>
  <c r="L78" i="71"/>
  <c r="K78" i="71"/>
  <c r="J78" i="71"/>
  <c r="H78" i="71"/>
  <c r="G78" i="71"/>
  <c r="F78" i="71"/>
  <c r="E78" i="71"/>
  <c r="D78" i="71"/>
  <c r="B78" i="71"/>
  <c r="T77" i="71"/>
  <c r="R77" i="71"/>
  <c r="Q77" i="71"/>
  <c r="M77" i="71"/>
  <c r="L77" i="71"/>
  <c r="K77" i="71"/>
  <c r="J77" i="71"/>
  <c r="H77" i="71"/>
  <c r="G77" i="71"/>
  <c r="F77" i="71"/>
  <c r="E77" i="71"/>
  <c r="D77" i="71"/>
  <c r="B77" i="71"/>
  <c r="T76" i="71"/>
  <c r="R76" i="71"/>
  <c r="Q76" i="71"/>
  <c r="M76" i="71"/>
  <c r="L76" i="71"/>
  <c r="K76" i="71"/>
  <c r="J76" i="71"/>
  <c r="H76" i="71"/>
  <c r="G76" i="71"/>
  <c r="F76" i="71"/>
  <c r="E76" i="71"/>
  <c r="D76" i="71"/>
  <c r="B76" i="71"/>
  <c r="T75" i="71"/>
  <c r="R75" i="71"/>
  <c r="Q75" i="71"/>
  <c r="M75" i="71"/>
  <c r="L75" i="71"/>
  <c r="K75" i="71"/>
  <c r="J75" i="71"/>
  <c r="H75" i="71"/>
  <c r="G75" i="71"/>
  <c r="F75" i="71"/>
  <c r="E75" i="71"/>
  <c r="D75" i="71"/>
  <c r="B75" i="71"/>
  <c r="T74" i="71"/>
  <c r="R74" i="71"/>
  <c r="Q74" i="71"/>
  <c r="M74" i="71"/>
  <c r="L74" i="71"/>
  <c r="K74" i="71"/>
  <c r="J74" i="71"/>
  <c r="H74" i="71"/>
  <c r="G74" i="71"/>
  <c r="F74" i="71"/>
  <c r="E74" i="71"/>
  <c r="D74" i="71"/>
  <c r="B74" i="71"/>
  <c r="T73" i="71"/>
  <c r="R73" i="71"/>
  <c r="Q73" i="71"/>
  <c r="M73" i="71"/>
  <c r="L73" i="71"/>
  <c r="K73" i="71"/>
  <c r="J73" i="71"/>
  <c r="H73" i="71"/>
  <c r="G73" i="71"/>
  <c r="F73" i="71"/>
  <c r="E73" i="71"/>
  <c r="D73" i="71"/>
  <c r="B73" i="71"/>
  <c r="T72" i="71"/>
  <c r="R72" i="71"/>
  <c r="Q72" i="71"/>
  <c r="M72" i="71"/>
  <c r="L72" i="71"/>
  <c r="K72" i="71"/>
  <c r="J72" i="71"/>
  <c r="H72" i="71"/>
  <c r="G72" i="71"/>
  <c r="F72" i="71"/>
  <c r="E72" i="71"/>
  <c r="D72" i="71"/>
  <c r="B72" i="71"/>
  <c r="T71" i="71"/>
  <c r="R71" i="71"/>
  <c r="Q71" i="71"/>
  <c r="M71" i="71"/>
  <c r="L71" i="71"/>
  <c r="K71" i="71"/>
  <c r="J71" i="71"/>
  <c r="H71" i="71"/>
  <c r="G71" i="71"/>
  <c r="F71" i="71"/>
  <c r="E71" i="71"/>
  <c r="D71" i="71"/>
  <c r="B71" i="71"/>
  <c r="T70" i="71"/>
  <c r="R70" i="71"/>
  <c r="Q70" i="71"/>
  <c r="M70" i="71"/>
  <c r="L70" i="71"/>
  <c r="K70" i="71"/>
  <c r="J70" i="71"/>
  <c r="H70" i="71"/>
  <c r="G70" i="71"/>
  <c r="F70" i="71"/>
  <c r="E70" i="71"/>
  <c r="D70" i="71"/>
  <c r="B70" i="71"/>
  <c r="T69" i="71"/>
  <c r="R69" i="71"/>
  <c r="Q69" i="71"/>
  <c r="M69" i="71"/>
  <c r="L69" i="71"/>
  <c r="K69" i="71"/>
  <c r="J69" i="71"/>
  <c r="H69" i="71"/>
  <c r="G69" i="71"/>
  <c r="F69" i="71"/>
  <c r="E69" i="71"/>
  <c r="D69" i="71"/>
  <c r="B69" i="71"/>
  <c r="T68" i="71"/>
  <c r="R68" i="71"/>
  <c r="Q68" i="71"/>
  <c r="M68" i="71"/>
  <c r="L68" i="71"/>
  <c r="K68" i="71"/>
  <c r="J68" i="71"/>
  <c r="H68" i="71"/>
  <c r="G68" i="71"/>
  <c r="F68" i="71"/>
  <c r="E68" i="71"/>
  <c r="D68" i="71"/>
  <c r="B68" i="71"/>
  <c r="T67" i="71"/>
  <c r="R67" i="71"/>
  <c r="Q67" i="71"/>
  <c r="M67" i="71"/>
  <c r="L67" i="71"/>
  <c r="K67" i="71"/>
  <c r="J67" i="71"/>
  <c r="H67" i="71"/>
  <c r="G67" i="71"/>
  <c r="F67" i="71"/>
  <c r="E67" i="71"/>
  <c r="D67" i="71"/>
  <c r="B67" i="71"/>
  <c r="T66" i="71"/>
  <c r="R66" i="71"/>
  <c r="Q66" i="71"/>
  <c r="M66" i="71"/>
  <c r="L66" i="71"/>
  <c r="K66" i="71"/>
  <c r="J66" i="71"/>
  <c r="H66" i="71"/>
  <c r="G66" i="71"/>
  <c r="F66" i="71"/>
  <c r="E66" i="71"/>
  <c r="D66" i="71"/>
  <c r="B66" i="71"/>
  <c r="T64" i="71"/>
  <c r="R64" i="71"/>
  <c r="Q64" i="71"/>
  <c r="M64" i="71"/>
  <c r="L64" i="71"/>
  <c r="K64" i="71"/>
  <c r="J64" i="71"/>
  <c r="H64" i="71"/>
  <c r="G64" i="71"/>
  <c r="F64" i="71"/>
  <c r="E64" i="71"/>
  <c r="D64" i="71"/>
  <c r="B64" i="71"/>
  <c r="T63" i="71"/>
  <c r="R63" i="71"/>
  <c r="Q63" i="71"/>
  <c r="M63" i="71"/>
  <c r="L63" i="71"/>
  <c r="K63" i="71"/>
  <c r="J63" i="71"/>
  <c r="H63" i="71"/>
  <c r="G63" i="71"/>
  <c r="F63" i="71"/>
  <c r="E63" i="71"/>
  <c r="D63" i="71"/>
  <c r="B63" i="71"/>
  <c r="T62" i="71"/>
  <c r="R62" i="71"/>
  <c r="Q62" i="71"/>
  <c r="M62" i="71"/>
  <c r="L62" i="71"/>
  <c r="K62" i="71"/>
  <c r="J62" i="71"/>
  <c r="H62" i="71"/>
  <c r="G62" i="71"/>
  <c r="F62" i="71"/>
  <c r="E62" i="71"/>
  <c r="D62" i="71"/>
  <c r="B62" i="71"/>
  <c r="T61" i="71"/>
  <c r="R61" i="71"/>
  <c r="Q61" i="71"/>
  <c r="M61" i="71"/>
  <c r="L61" i="71"/>
  <c r="K61" i="71"/>
  <c r="J61" i="71"/>
  <c r="H61" i="71"/>
  <c r="G61" i="71"/>
  <c r="F61" i="71"/>
  <c r="E61" i="71"/>
  <c r="D61" i="71"/>
  <c r="B61" i="71"/>
  <c r="T60" i="71"/>
  <c r="R60" i="71"/>
  <c r="Q60" i="71"/>
  <c r="M60" i="71"/>
  <c r="L60" i="71"/>
  <c r="K60" i="71"/>
  <c r="J60" i="71"/>
  <c r="H60" i="71"/>
  <c r="G60" i="71"/>
  <c r="F60" i="71"/>
  <c r="E60" i="71"/>
  <c r="D60" i="71"/>
  <c r="B60" i="71"/>
  <c r="T59" i="71"/>
  <c r="R59" i="71"/>
  <c r="Q59" i="71"/>
  <c r="M59" i="71"/>
  <c r="L59" i="71"/>
  <c r="K59" i="71"/>
  <c r="J59" i="71"/>
  <c r="H59" i="71"/>
  <c r="G59" i="71"/>
  <c r="F59" i="71"/>
  <c r="E59" i="71"/>
  <c r="D59" i="71"/>
  <c r="B59" i="71"/>
  <c r="T58" i="71"/>
  <c r="R58" i="71"/>
  <c r="Q58" i="71"/>
  <c r="M58" i="71"/>
  <c r="L58" i="71"/>
  <c r="K58" i="71"/>
  <c r="J58" i="71"/>
  <c r="H58" i="71"/>
  <c r="G58" i="71"/>
  <c r="F58" i="71"/>
  <c r="E58" i="71"/>
  <c r="D58" i="71"/>
  <c r="B58" i="71"/>
  <c r="T57" i="71"/>
  <c r="R57" i="71"/>
  <c r="Q57" i="71"/>
  <c r="M57" i="71"/>
  <c r="L57" i="71"/>
  <c r="K57" i="71"/>
  <c r="J57" i="71"/>
  <c r="H57" i="71"/>
  <c r="G57" i="71"/>
  <c r="F57" i="71"/>
  <c r="E57" i="71"/>
  <c r="D57" i="71"/>
  <c r="B57" i="71"/>
  <c r="T56" i="71"/>
  <c r="R56" i="71"/>
  <c r="Q56" i="71"/>
  <c r="M56" i="71"/>
  <c r="L56" i="71"/>
  <c r="K56" i="71"/>
  <c r="J56" i="71"/>
  <c r="H56" i="71"/>
  <c r="G56" i="71"/>
  <c r="F56" i="71"/>
  <c r="E56" i="71"/>
  <c r="D56" i="71"/>
  <c r="B56" i="71"/>
  <c r="T55" i="71"/>
  <c r="R55" i="71"/>
  <c r="Q55" i="71"/>
  <c r="M55" i="71"/>
  <c r="L55" i="71"/>
  <c r="K55" i="71"/>
  <c r="J55" i="71"/>
  <c r="H55" i="71"/>
  <c r="G55" i="71"/>
  <c r="F55" i="71"/>
  <c r="E55" i="71"/>
  <c r="D55" i="71"/>
  <c r="B55" i="71"/>
  <c r="T54" i="71"/>
  <c r="R54" i="71"/>
  <c r="Q54" i="71"/>
  <c r="M54" i="71"/>
  <c r="L54" i="71"/>
  <c r="K54" i="71"/>
  <c r="J54" i="71"/>
  <c r="H54" i="71"/>
  <c r="G54" i="71"/>
  <c r="F54" i="71"/>
  <c r="E54" i="71"/>
  <c r="D54" i="71"/>
  <c r="B54" i="71"/>
  <c r="T53" i="71"/>
  <c r="R53" i="71"/>
  <c r="Q53" i="71"/>
  <c r="M53" i="71"/>
  <c r="L53" i="71"/>
  <c r="K53" i="71"/>
  <c r="J53" i="71"/>
  <c r="H53" i="71"/>
  <c r="G53" i="71"/>
  <c r="F53" i="71"/>
  <c r="E53" i="71"/>
  <c r="D53" i="71"/>
  <c r="B53" i="71"/>
  <c r="T52" i="71"/>
  <c r="R52" i="71"/>
  <c r="Q52" i="71"/>
  <c r="M52" i="71"/>
  <c r="L52" i="71"/>
  <c r="K52" i="71"/>
  <c r="J52" i="71"/>
  <c r="H52" i="71"/>
  <c r="G52" i="71"/>
  <c r="F52" i="71"/>
  <c r="E52" i="71"/>
  <c r="D52" i="71"/>
  <c r="B52" i="71"/>
  <c r="T51" i="71"/>
  <c r="R51" i="71"/>
  <c r="Q51" i="71"/>
  <c r="M51" i="71"/>
  <c r="L51" i="71"/>
  <c r="K51" i="71"/>
  <c r="J51" i="71"/>
  <c r="H51" i="71"/>
  <c r="G51" i="71"/>
  <c r="F51" i="71"/>
  <c r="E51" i="71"/>
  <c r="D51" i="71"/>
  <c r="B51" i="71"/>
  <c r="T50" i="71"/>
  <c r="R50" i="71"/>
  <c r="Q50" i="71"/>
  <c r="M50" i="71"/>
  <c r="L50" i="71"/>
  <c r="K50" i="71"/>
  <c r="J50" i="71"/>
  <c r="H50" i="71"/>
  <c r="G50" i="71"/>
  <c r="F50" i="71"/>
  <c r="E50" i="71"/>
  <c r="D50" i="71"/>
  <c r="B50" i="71"/>
  <c r="T49" i="71"/>
  <c r="R49" i="71"/>
  <c r="Q49" i="71"/>
  <c r="M49" i="71"/>
  <c r="L49" i="71"/>
  <c r="K49" i="71"/>
  <c r="J49" i="71"/>
  <c r="H49" i="71"/>
  <c r="G49" i="71"/>
  <c r="F49" i="71"/>
  <c r="E49" i="71"/>
  <c r="D49" i="71"/>
  <c r="B49" i="71"/>
  <c r="T48" i="71"/>
  <c r="R48" i="71"/>
  <c r="Q48" i="71"/>
  <c r="M48" i="71"/>
  <c r="L48" i="71"/>
  <c r="K48" i="71"/>
  <c r="J48" i="71"/>
  <c r="H48" i="71"/>
  <c r="G48" i="71"/>
  <c r="F48" i="71"/>
  <c r="E48" i="71"/>
  <c r="D48" i="71"/>
  <c r="B48" i="71"/>
  <c r="T47" i="71"/>
  <c r="R47" i="71"/>
  <c r="Q47" i="71"/>
  <c r="M47" i="71"/>
  <c r="L47" i="71"/>
  <c r="K47" i="71"/>
  <c r="J47" i="71"/>
  <c r="H47" i="71"/>
  <c r="G47" i="71"/>
  <c r="F47" i="71"/>
  <c r="E47" i="71"/>
  <c r="D47" i="71"/>
  <c r="B47" i="71"/>
  <c r="T46" i="71"/>
  <c r="R46" i="71"/>
  <c r="Q46" i="71"/>
  <c r="M46" i="71"/>
  <c r="L46" i="71"/>
  <c r="K46" i="71"/>
  <c r="J46" i="71"/>
  <c r="H46" i="71"/>
  <c r="G46" i="71"/>
  <c r="F46" i="71"/>
  <c r="E46" i="71"/>
  <c r="D46" i="71"/>
  <c r="B46" i="71"/>
  <c r="T45" i="71"/>
  <c r="R45" i="71"/>
  <c r="Q45" i="71"/>
  <c r="M45" i="71"/>
  <c r="L45" i="71"/>
  <c r="K45" i="71"/>
  <c r="J45" i="71"/>
  <c r="H45" i="71"/>
  <c r="G45" i="71"/>
  <c r="F45" i="71"/>
  <c r="E45" i="71"/>
  <c r="D45" i="71"/>
  <c r="B45" i="71"/>
  <c r="T44" i="71"/>
  <c r="R44" i="71"/>
  <c r="Q44" i="71"/>
  <c r="M44" i="71"/>
  <c r="L44" i="71"/>
  <c r="K44" i="71"/>
  <c r="J44" i="71"/>
  <c r="H44" i="71"/>
  <c r="G44" i="71"/>
  <c r="F44" i="71"/>
  <c r="E44" i="71"/>
  <c r="D44" i="71"/>
  <c r="B44" i="71"/>
  <c r="T43" i="71"/>
  <c r="R43" i="71"/>
  <c r="Q43" i="71"/>
  <c r="M43" i="71"/>
  <c r="L43" i="71"/>
  <c r="K43" i="71"/>
  <c r="J43" i="71"/>
  <c r="H43" i="71"/>
  <c r="G43" i="71"/>
  <c r="F43" i="71"/>
  <c r="E43" i="71"/>
  <c r="D43" i="71"/>
  <c r="B43" i="71"/>
  <c r="T42" i="71"/>
  <c r="R42" i="71"/>
  <c r="Q42" i="71"/>
  <c r="M42" i="71"/>
  <c r="L42" i="71"/>
  <c r="K42" i="71"/>
  <c r="J42" i="71"/>
  <c r="H42" i="71"/>
  <c r="G42" i="71"/>
  <c r="F42" i="71"/>
  <c r="E42" i="71"/>
  <c r="D42" i="71"/>
  <c r="B42" i="71"/>
  <c r="T41" i="71"/>
  <c r="R41" i="71"/>
  <c r="Q41" i="71"/>
  <c r="M41" i="71"/>
  <c r="L41" i="71"/>
  <c r="K41" i="71"/>
  <c r="J41" i="71"/>
  <c r="H41" i="71"/>
  <c r="G41" i="71"/>
  <c r="F41" i="71"/>
  <c r="E41" i="71"/>
  <c r="D41" i="71"/>
  <c r="B41" i="71"/>
  <c r="T40" i="71"/>
  <c r="R40" i="71"/>
  <c r="Q40" i="71"/>
  <c r="M40" i="71"/>
  <c r="L40" i="71"/>
  <c r="K40" i="71"/>
  <c r="J40" i="71"/>
  <c r="H40" i="71"/>
  <c r="G40" i="71"/>
  <c r="F40" i="71"/>
  <c r="E40" i="71"/>
  <c r="D40" i="71"/>
  <c r="B40" i="71"/>
  <c r="T39" i="71"/>
  <c r="R39" i="71"/>
  <c r="Q39" i="71"/>
  <c r="M39" i="71"/>
  <c r="L39" i="71"/>
  <c r="K39" i="71"/>
  <c r="J39" i="71"/>
  <c r="H39" i="71"/>
  <c r="G39" i="71"/>
  <c r="F39" i="71"/>
  <c r="E39" i="71"/>
  <c r="D39" i="71"/>
  <c r="B39" i="71"/>
  <c r="T38" i="71"/>
  <c r="R38" i="71"/>
  <c r="Q38" i="71"/>
  <c r="M38" i="71"/>
  <c r="L38" i="71"/>
  <c r="K38" i="71"/>
  <c r="J38" i="71"/>
  <c r="H38" i="71"/>
  <c r="G38" i="71"/>
  <c r="F38" i="71"/>
  <c r="E38" i="71"/>
  <c r="D38" i="71"/>
  <c r="B38" i="71"/>
  <c r="T37" i="71"/>
  <c r="R37" i="71"/>
  <c r="Q37" i="71"/>
  <c r="M37" i="71"/>
  <c r="L37" i="71"/>
  <c r="K37" i="71"/>
  <c r="J37" i="71"/>
  <c r="H37" i="71"/>
  <c r="G37" i="71"/>
  <c r="F37" i="71"/>
  <c r="E37" i="71"/>
  <c r="D37" i="71"/>
  <c r="B37" i="71"/>
  <c r="T36" i="71"/>
  <c r="R36" i="71"/>
  <c r="Q36" i="71"/>
  <c r="M36" i="71"/>
  <c r="L36" i="71"/>
  <c r="K36" i="71"/>
  <c r="J36" i="71"/>
  <c r="H36" i="71"/>
  <c r="G36" i="71"/>
  <c r="F36" i="71"/>
  <c r="E36" i="71"/>
  <c r="D36" i="71"/>
  <c r="B36" i="71"/>
  <c r="T35" i="71"/>
  <c r="R35" i="71"/>
  <c r="Q35" i="71"/>
  <c r="M35" i="71"/>
  <c r="L35" i="71"/>
  <c r="K35" i="71"/>
  <c r="J35" i="71"/>
  <c r="H35" i="71"/>
  <c r="G35" i="71"/>
  <c r="F35" i="71"/>
  <c r="E35" i="71"/>
  <c r="D35" i="71"/>
  <c r="B35" i="71"/>
  <c r="T34" i="71"/>
  <c r="R34" i="71"/>
  <c r="Q34" i="71"/>
  <c r="M34" i="71"/>
  <c r="L34" i="71"/>
  <c r="K34" i="71"/>
  <c r="J34" i="71"/>
  <c r="H34" i="71"/>
  <c r="G34" i="71"/>
  <c r="F34" i="71"/>
  <c r="E34" i="71"/>
  <c r="D34" i="71"/>
  <c r="B34" i="71"/>
  <c r="T32" i="71"/>
  <c r="R32" i="71"/>
  <c r="Q32" i="71"/>
  <c r="M32" i="71"/>
  <c r="L32" i="71"/>
  <c r="K32" i="71"/>
  <c r="J32" i="71"/>
  <c r="H32" i="71"/>
  <c r="G32" i="71"/>
  <c r="F32" i="71"/>
  <c r="E32" i="71"/>
  <c r="D32" i="71"/>
  <c r="B32" i="71"/>
  <c r="T31" i="71"/>
  <c r="R31" i="71"/>
  <c r="Q31" i="71"/>
  <c r="M31" i="71"/>
  <c r="L31" i="71"/>
  <c r="K31" i="71"/>
  <c r="J31" i="71"/>
  <c r="H31" i="71"/>
  <c r="G31" i="71"/>
  <c r="F31" i="71"/>
  <c r="E31" i="71"/>
  <c r="D31" i="71"/>
  <c r="B31" i="71"/>
  <c r="T30" i="71"/>
  <c r="R30" i="71"/>
  <c r="Q30" i="71"/>
  <c r="M30" i="71"/>
  <c r="L30" i="71"/>
  <c r="K30" i="71"/>
  <c r="J30" i="71"/>
  <c r="H30" i="71"/>
  <c r="G30" i="71"/>
  <c r="F30" i="71"/>
  <c r="E30" i="71"/>
  <c r="D30" i="71"/>
  <c r="B30" i="71"/>
  <c r="T29" i="71"/>
  <c r="R29" i="71"/>
  <c r="Q29" i="71"/>
  <c r="M29" i="71"/>
  <c r="L29" i="71"/>
  <c r="K29" i="71"/>
  <c r="J29" i="71"/>
  <c r="H29" i="71"/>
  <c r="G29" i="71"/>
  <c r="F29" i="71"/>
  <c r="E29" i="71"/>
  <c r="D29" i="71"/>
  <c r="B29" i="71"/>
  <c r="T28" i="71"/>
  <c r="R28" i="71"/>
  <c r="Q28" i="71"/>
  <c r="M28" i="71"/>
  <c r="L28" i="71"/>
  <c r="K28" i="71"/>
  <c r="J28" i="71"/>
  <c r="H28" i="71"/>
  <c r="G28" i="71"/>
  <c r="F28" i="71"/>
  <c r="E28" i="71"/>
  <c r="D28" i="71"/>
  <c r="B28" i="71"/>
  <c r="T27" i="71"/>
  <c r="R27" i="71"/>
  <c r="Q27" i="71"/>
  <c r="M27" i="71"/>
  <c r="L27" i="71"/>
  <c r="K27" i="71"/>
  <c r="J27" i="71"/>
  <c r="H27" i="71"/>
  <c r="G27" i="71"/>
  <c r="F27" i="71"/>
  <c r="E27" i="71"/>
  <c r="D27" i="71"/>
  <c r="B27" i="71"/>
  <c r="T26" i="71"/>
  <c r="R26" i="71"/>
  <c r="Q26" i="71"/>
  <c r="M26" i="71"/>
  <c r="L26" i="71"/>
  <c r="K26" i="71"/>
  <c r="J26" i="71"/>
  <c r="H26" i="71"/>
  <c r="G26" i="71"/>
  <c r="F26" i="71"/>
  <c r="E26" i="71"/>
  <c r="D26" i="71"/>
  <c r="B26" i="71"/>
  <c r="T25" i="71"/>
  <c r="R25" i="71"/>
  <c r="Q25" i="71"/>
  <c r="M25" i="71"/>
  <c r="L25" i="71"/>
  <c r="K25" i="71"/>
  <c r="J25" i="71"/>
  <c r="H25" i="71"/>
  <c r="G25" i="71"/>
  <c r="F25" i="71"/>
  <c r="E25" i="71"/>
  <c r="D25" i="71"/>
  <c r="B25" i="71"/>
  <c r="T24" i="71"/>
  <c r="R24" i="71"/>
  <c r="Q24" i="71"/>
  <c r="M24" i="71"/>
  <c r="K24" i="71"/>
  <c r="J24" i="71"/>
  <c r="H24" i="71"/>
  <c r="G24" i="71"/>
  <c r="F24" i="71"/>
  <c r="E24" i="71"/>
  <c r="D24" i="71"/>
  <c r="B24" i="71"/>
  <c r="T23" i="71"/>
  <c r="R23" i="71"/>
  <c r="Q23" i="71"/>
  <c r="M23" i="71"/>
  <c r="L23" i="71"/>
  <c r="K23" i="71"/>
  <c r="J23" i="71"/>
  <c r="H23" i="71"/>
  <c r="G23" i="71"/>
  <c r="F23" i="71"/>
  <c r="E23" i="71"/>
  <c r="D23" i="71"/>
  <c r="B23" i="71"/>
  <c r="T22" i="71"/>
  <c r="R22" i="71"/>
  <c r="Q22" i="71"/>
  <c r="M22" i="71"/>
  <c r="L22" i="71"/>
  <c r="K22" i="71"/>
  <c r="J22" i="71"/>
  <c r="H22" i="71"/>
  <c r="G22" i="71"/>
  <c r="F22" i="71"/>
  <c r="E22" i="71"/>
  <c r="D22" i="71"/>
  <c r="B22" i="71"/>
  <c r="T21" i="71"/>
  <c r="R21" i="71"/>
  <c r="Q21" i="71"/>
  <c r="M21" i="71"/>
  <c r="L21" i="71"/>
  <c r="K21" i="71"/>
  <c r="J21" i="71"/>
  <c r="H21" i="71"/>
  <c r="G21" i="71"/>
  <c r="F21" i="71"/>
  <c r="E21" i="71"/>
  <c r="D21" i="71"/>
  <c r="B21" i="71"/>
  <c r="T20" i="71"/>
  <c r="R20" i="71"/>
  <c r="Q20" i="71"/>
  <c r="M20" i="71"/>
  <c r="L20" i="71"/>
  <c r="K20" i="71"/>
  <c r="J20" i="71"/>
  <c r="H20" i="71"/>
  <c r="G20" i="71"/>
  <c r="F20" i="71"/>
  <c r="E20" i="71"/>
  <c r="D20" i="71"/>
  <c r="B20" i="71"/>
  <c r="T19" i="71"/>
  <c r="R19" i="71"/>
  <c r="Q19" i="71"/>
  <c r="M19" i="71"/>
  <c r="L19" i="71"/>
  <c r="K19" i="71"/>
  <c r="J19" i="71"/>
  <c r="H19" i="71"/>
  <c r="G19" i="71"/>
  <c r="F19" i="71"/>
  <c r="E19" i="71"/>
  <c r="D19" i="71"/>
  <c r="B19" i="71"/>
  <c r="T18" i="71"/>
  <c r="R18" i="71"/>
  <c r="Q18" i="71"/>
  <c r="M18" i="71"/>
  <c r="L18" i="71"/>
  <c r="K18" i="71"/>
  <c r="J18" i="71"/>
  <c r="H18" i="71"/>
  <c r="G18" i="71"/>
  <c r="F18" i="71"/>
  <c r="E18" i="71"/>
  <c r="D18" i="71"/>
  <c r="B18" i="71"/>
  <c r="T17" i="71"/>
  <c r="R17" i="71"/>
  <c r="Q17" i="71"/>
  <c r="M17" i="71"/>
  <c r="L17" i="71"/>
  <c r="K17" i="71"/>
  <c r="J17" i="71"/>
  <c r="H17" i="71"/>
  <c r="G17" i="71"/>
  <c r="F17" i="71"/>
  <c r="E17" i="71"/>
  <c r="D17" i="71"/>
  <c r="B17" i="71"/>
  <c r="T16" i="71"/>
  <c r="R16" i="71"/>
  <c r="Q16" i="71"/>
  <c r="M16" i="71"/>
  <c r="L16" i="71"/>
  <c r="K16" i="71"/>
  <c r="J16" i="71"/>
  <c r="H16" i="71"/>
  <c r="G16" i="71"/>
  <c r="F16" i="71"/>
  <c r="E16" i="71"/>
  <c r="D16" i="71"/>
  <c r="B16" i="71"/>
  <c r="T15" i="71"/>
  <c r="R15" i="71"/>
  <c r="Q15" i="71"/>
  <c r="M15" i="71"/>
  <c r="L15" i="71"/>
  <c r="K15" i="71"/>
  <c r="J15" i="71"/>
  <c r="H15" i="71"/>
  <c r="G15" i="71"/>
  <c r="F15" i="71"/>
  <c r="E15" i="71"/>
  <c r="D15" i="71"/>
  <c r="B15" i="71"/>
  <c r="T14" i="71"/>
  <c r="R14" i="71"/>
  <c r="Q14" i="71"/>
  <c r="M14" i="71"/>
  <c r="L14" i="71"/>
  <c r="K14" i="71"/>
  <c r="J14" i="71"/>
  <c r="H14" i="71"/>
  <c r="G14" i="71"/>
  <c r="F14" i="71"/>
  <c r="E14" i="71"/>
  <c r="D14" i="71"/>
  <c r="B14" i="71"/>
  <c r="T13" i="71"/>
  <c r="R13" i="71"/>
  <c r="Q13" i="71"/>
  <c r="M13" i="71"/>
  <c r="L13" i="71"/>
  <c r="K13" i="71"/>
  <c r="J13" i="71"/>
  <c r="H13" i="71"/>
  <c r="G13" i="71"/>
  <c r="F13" i="71"/>
  <c r="E13" i="71"/>
  <c r="D13" i="71"/>
  <c r="B13" i="71"/>
  <c r="T12" i="71"/>
  <c r="R12" i="71"/>
  <c r="Q12" i="71"/>
  <c r="M12" i="71"/>
  <c r="L12" i="71"/>
  <c r="K12" i="71"/>
  <c r="J12" i="71"/>
  <c r="H12" i="71"/>
  <c r="G12" i="71"/>
  <c r="F12" i="71"/>
  <c r="E12" i="71"/>
  <c r="D12" i="71"/>
  <c r="B12" i="71"/>
  <c r="T11" i="71"/>
  <c r="R11" i="71"/>
  <c r="Q11" i="71"/>
  <c r="M11" i="71"/>
  <c r="L11" i="71"/>
  <c r="K11" i="71"/>
  <c r="J11" i="71"/>
  <c r="H11" i="71"/>
  <c r="G11" i="71"/>
  <c r="F11" i="71"/>
  <c r="E11" i="71"/>
  <c r="D11" i="71"/>
  <c r="B11" i="71"/>
  <c r="T10" i="71"/>
  <c r="R10" i="71"/>
  <c r="Q10" i="71"/>
  <c r="M10" i="71"/>
  <c r="L10" i="71"/>
  <c r="K10" i="71"/>
  <c r="J10" i="71"/>
  <c r="H10" i="71"/>
  <c r="G10" i="71"/>
  <c r="F10" i="71"/>
  <c r="E10" i="71"/>
  <c r="D10" i="71"/>
  <c r="B10" i="71"/>
  <c r="T9" i="71"/>
  <c r="R9" i="71"/>
  <c r="Q9" i="71"/>
  <c r="M9" i="71"/>
  <c r="L9" i="71"/>
  <c r="K9" i="71"/>
  <c r="J9" i="71"/>
  <c r="H9" i="71"/>
  <c r="G9" i="71"/>
  <c r="F9" i="71"/>
  <c r="E9" i="71"/>
  <c r="D9" i="71"/>
  <c r="B9" i="71"/>
  <c r="T8" i="71"/>
  <c r="R8" i="71"/>
  <c r="Q8" i="71"/>
  <c r="M8" i="71"/>
  <c r="L8" i="71"/>
  <c r="K8" i="71"/>
  <c r="J8" i="71"/>
  <c r="H8" i="71"/>
  <c r="G8" i="71"/>
  <c r="F8" i="71"/>
  <c r="E8" i="71"/>
  <c r="D8" i="71"/>
  <c r="B8" i="71"/>
  <c r="T7" i="71"/>
  <c r="R7" i="71"/>
  <c r="Q7" i="71"/>
  <c r="M7" i="71"/>
  <c r="L7" i="71"/>
  <c r="K7" i="71"/>
  <c r="J7" i="71"/>
  <c r="H7" i="71"/>
  <c r="G7" i="71"/>
  <c r="F7" i="71"/>
  <c r="E7" i="71"/>
  <c r="D7" i="71"/>
  <c r="B7" i="71"/>
  <c r="T6" i="71"/>
  <c r="R6" i="71"/>
  <c r="Q6" i="71"/>
  <c r="M6" i="71"/>
  <c r="L6" i="71"/>
  <c r="K6" i="71"/>
  <c r="J6" i="71"/>
  <c r="H6" i="71"/>
  <c r="G6" i="71"/>
  <c r="F6" i="71"/>
  <c r="E6" i="71"/>
  <c r="D6" i="71"/>
  <c r="B6" i="71"/>
  <c r="T5" i="71"/>
  <c r="R5" i="71"/>
  <c r="Q5" i="71"/>
  <c r="M5" i="71"/>
  <c r="L5" i="71"/>
  <c r="K5" i="71"/>
  <c r="J5" i="71"/>
  <c r="H5" i="71"/>
  <c r="G5" i="71"/>
  <c r="F5" i="71"/>
  <c r="E5" i="71"/>
  <c r="D5" i="71"/>
  <c r="B5" i="71"/>
  <c r="T4" i="71"/>
  <c r="R4" i="71"/>
  <c r="Q4" i="71"/>
  <c r="M4" i="71"/>
  <c r="L4" i="71"/>
  <c r="K4" i="71"/>
  <c r="J4" i="71"/>
  <c r="H4" i="71"/>
  <c r="G4" i="71"/>
  <c r="F4" i="71"/>
  <c r="E4" i="71"/>
  <c r="D4" i="71"/>
  <c r="B4" i="71"/>
  <c r="T3" i="71"/>
  <c r="R3" i="71"/>
  <c r="Q3" i="71"/>
  <c r="M3" i="71"/>
  <c r="L3" i="71"/>
  <c r="K3" i="71"/>
  <c r="J3" i="71"/>
  <c r="H3" i="71"/>
  <c r="G3" i="71"/>
  <c r="F3" i="71"/>
  <c r="E3" i="71"/>
  <c r="D3" i="71"/>
  <c r="B3" i="71"/>
  <c r="T2" i="71"/>
  <c r="R2" i="71"/>
  <c r="Q2" i="71"/>
  <c r="M2" i="71"/>
  <c r="L2" i="71"/>
  <c r="K2" i="71"/>
  <c r="J2" i="71"/>
  <c r="H2" i="71"/>
  <c r="G2" i="71"/>
  <c r="F2" i="71"/>
  <c r="E2" i="71"/>
  <c r="D2" i="71"/>
  <c r="B2" i="71"/>
  <c r="U1" i="71"/>
  <c r="T1" i="71"/>
  <c r="S1" i="71"/>
  <c r="R1" i="71"/>
  <c r="Q1" i="71"/>
  <c r="M1" i="71"/>
  <c r="L1" i="71"/>
  <c r="K1" i="71"/>
  <c r="J1" i="71"/>
  <c r="H1" i="71"/>
  <c r="G1" i="71"/>
  <c r="F1" i="71"/>
  <c r="E1" i="71"/>
  <c r="D1" i="71"/>
  <c r="C1" i="71"/>
  <c r="B1" i="71"/>
  <c r="G52" i="57" a="1"/>
  <c r="G52" i="57" s="1"/>
  <c r="G64" i="57" a="1"/>
  <c r="G64" i="57" s="1"/>
  <c r="J12" i="72" l="1" a="1"/>
  <c r="J12" i="72" s="1"/>
  <c r="O2" i="74" s="1"/>
  <c r="K6" i="74"/>
  <c r="K8" i="74"/>
  <c r="K10" i="74"/>
  <c r="K12" i="74"/>
  <c r="L4" i="74"/>
  <c r="J2" i="74"/>
  <c r="J4" i="74"/>
  <c r="K4" i="74"/>
  <c r="L6" i="74"/>
  <c r="L8" i="74"/>
  <c r="L10" i="74"/>
  <c r="L12" i="74"/>
  <c r="J7" i="74"/>
  <c r="J9" i="74"/>
  <c r="J11" i="74"/>
  <c r="J3" i="74"/>
  <c r="J5" i="74"/>
  <c r="K9" i="74"/>
  <c r="K11" i="74"/>
  <c r="K3" i="74"/>
  <c r="K5" i="74"/>
  <c r="L7" i="74"/>
  <c r="L9" i="74"/>
  <c r="L3" i="74"/>
  <c r="L5" i="74"/>
  <c r="K7" i="74"/>
  <c r="J6" i="74"/>
  <c r="J8" i="74"/>
  <c r="J10" i="74"/>
  <c r="J12" i="74"/>
  <c r="I12" i="72" a="1"/>
  <c r="I12" i="72" s="1"/>
  <c r="N2" i="74" s="1"/>
  <c r="J21" i="72" a="1"/>
  <c r="J21" i="72" s="1"/>
  <c r="I21" i="72" a="1"/>
  <c r="I21" i="72" s="1"/>
  <c r="N11" i="74" s="1"/>
  <c r="I16" i="72" a="1"/>
  <c r="I16" i="72" s="1"/>
  <c r="N6" i="74" s="1"/>
  <c r="H16" i="72" a="1"/>
  <c r="H16" i="72" s="1"/>
  <c r="M6" i="74" s="1"/>
  <c r="H12" i="72" a="1"/>
  <c r="H12" i="72" s="1"/>
  <c r="M2" i="74" s="1"/>
  <c r="J16" i="72" a="1"/>
  <c r="J16" i="72" s="1"/>
  <c r="O6" i="74" s="1"/>
  <c r="H21" i="72" a="1"/>
  <c r="H21" i="72" s="1"/>
  <c r="M11" i="74" s="1"/>
  <c r="O11" i="74" l="1"/>
  <c r="E51" i="57" a="1"/>
  <c r="E51" i="57" s="1"/>
  <c r="O55" i="71" l="1"/>
  <c r="O21" i="71"/>
  <c r="O19" i="71"/>
  <c r="O87" i="71"/>
  <c r="O54" i="71"/>
  <c r="O22" i="71"/>
  <c r="O52" i="71"/>
  <c r="O51" i="71"/>
  <c r="O86" i="71"/>
  <c r="O53" i="71"/>
  <c r="O23" i="71"/>
  <c r="O85" i="71"/>
  <c r="O84" i="71"/>
  <c r="O83" i="71"/>
  <c r="O20" i="71"/>
  <c r="O72" i="71"/>
  <c r="O39" i="71"/>
  <c r="O6" i="71"/>
  <c r="O68" i="71"/>
  <c r="O2" i="71"/>
  <c r="O71" i="71"/>
  <c r="O38" i="71"/>
  <c r="O7" i="71"/>
  <c r="O69" i="71"/>
  <c r="O36" i="71"/>
  <c r="O35" i="71"/>
  <c r="O67" i="71"/>
  <c r="O34" i="71"/>
  <c r="O3" i="71"/>
  <c r="O70" i="71"/>
  <c r="O37" i="71"/>
  <c r="O8" i="71"/>
  <c r="O9" i="71"/>
  <c r="O66" i="71"/>
  <c r="O41" i="71"/>
  <c r="O4" i="71"/>
  <c r="O73" i="71"/>
  <c r="O40" i="71"/>
  <c r="O5" i="71"/>
  <c r="O80" i="71"/>
  <c r="O47" i="71"/>
  <c r="O15" i="71"/>
  <c r="O44" i="71"/>
  <c r="O79" i="71"/>
  <c r="O46" i="71"/>
  <c r="O16" i="71"/>
  <c r="O18" i="71"/>
  <c r="O10" i="71"/>
  <c r="O78" i="71"/>
  <c r="O45" i="71"/>
  <c r="O17" i="71"/>
  <c r="O77" i="71"/>
  <c r="O76" i="71"/>
  <c r="O43" i="71"/>
  <c r="O11" i="71"/>
  <c r="O50" i="71"/>
  <c r="O82" i="71"/>
  <c r="O74" i="71"/>
  <c r="O49" i="71"/>
  <c r="O13" i="71"/>
  <c r="O48" i="71"/>
  <c r="O14" i="71"/>
  <c r="O75" i="71"/>
  <c r="O42" i="71"/>
  <c r="O12" i="71"/>
  <c r="O81" i="71"/>
  <c r="F23" i="68"/>
  <c r="I23" i="68" s="1"/>
  <c r="F16" i="68"/>
  <c r="I16" i="68" s="1"/>
  <c r="F26" i="68"/>
  <c r="I26" i="68" s="1"/>
  <c r="F27" i="68"/>
  <c r="I27" i="68" s="1"/>
  <c r="F29" i="68"/>
  <c r="I29" i="68" s="1"/>
  <c r="F30" i="68"/>
  <c r="I30" i="68" s="1"/>
  <c r="I31" i="68"/>
  <c r="F25" i="68"/>
  <c r="I25" i="68" s="1"/>
  <c r="F21" i="68"/>
  <c r="I21" i="68" s="1"/>
  <c r="F22" i="68"/>
  <c r="I22" i="68" s="1"/>
  <c r="K41" i="64" l="1" a="1"/>
  <c r="K41" i="64" s="1"/>
  <c r="K55" i="63" a="1"/>
  <c r="K55" i="63" s="1"/>
  <c r="K47" i="63" a="1"/>
  <c r="K47" i="63" s="1"/>
  <c r="K56" i="64" a="1"/>
  <c r="K56" i="64" s="1"/>
  <c r="K40" i="64" a="1"/>
  <c r="K40" i="64" s="1"/>
  <c r="K54" i="63" a="1"/>
  <c r="K54" i="63" s="1"/>
  <c r="K46" i="63" a="1"/>
  <c r="K46" i="63" s="1"/>
  <c r="K55" i="64" a="1"/>
  <c r="K55" i="64" s="1"/>
  <c r="K47" i="64" a="1"/>
  <c r="K47" i="64" s="1"/>
  <c r="K39" i="64" a="1"/>
  <c r="K39" i="64" s="1"/>
  <c r="K53" i="63" a="1"/>
  <c r="K53" i="63" s="1"/>
  <c r="K45" i="63" a="1"/>
  <c r="K45" i="63" s="1"/>
  <c r="K54" i="64" a="1"/>
  <c r="K54" i="64" s="1"/>
  <c r="K46" i="64" a="1"/>
  <c r="K46" i="64" s="1"/>
  <c r="K52" i="63" a="1"/>
  <c r="K52" i="63" s="1"/>
  <c r="K51" i="63" a="1"/>
  <c r="K51" i="63" s="1"/>
  <c r="K40" i="63" a="1"/>
  <c r="K40" i="63" s="1"/>
  <c r="K53" i="64" a="1"/>
  <c r="K53" i="64" s="1"/>
  <c r="K45" i="64" a="1"/>
  <c r="K45" i="64" s="1"/>
  <c r="K28" i="64" a="1"/>
  <c r="K28" i="64" s="1"/>
  <c r="K52" i="64" a="1"/>
  <c r="K52" i="64" s="1"/>
  <c r="K27" i="64" a="1"/>
  <c r="K27" i="64" s="1"/>
  <c r="K42" i="63" a="1"/>
  <c r="K42" i="63" s="1"/>
  <c r="K51" i="64" a="1"/>
  <c r="K51" i="64" s="1"/>
  <c r="K26" i="64" a="1"/>
  <c r="K26" i="64" s="1"/>
  <c r="K41" i="63" a="1"/>
  <c r="K41" i="63" s="1"/>
  <c r="K42" i="64" a="1"/>
  <c r="K42" i="64" s="1"/>
  <c r="K56" i="63" a="1"/>
  <c r="K56" i="63" s="1"/>
  <c r="K28" i="62" a="1"/>
  <c r="K28" i="62" s="1"/>
  <c r="K56" i="62" a="1"/>
  <c r="K56" i="62" s="1"/>
  <c r="K28" i="63" a="1"/>
  <c r="K28" i="63" s="1"/>
  <c r="K39" i="62" a="1"/>
  <c r="K39" i="62" s="1"/>
  <c r="K27" i="63" a="1"/>
  <c r="K27" i="63" s="1"/>
  <c r="K52" i="62" a="1"/>
  <c r="K52" i="62" s="1"/>
  <c r="K26" i="62" a="1"/>
  <c r="K26" i="62" s="1"/>
  <c r="K46" i="62" a="1"/>
  <c r="K46" i="62" s="1"/>
  <c r="K47" i="62" a="1"/>
  <c r="K47" i="62" s="1"/>
  <c r="K55" i="62" a="1"/>
  <c r="K55" i="62" s="1"/>
  <c r="K45" i="62" a="1"/>
  <c r="K45" i="62" s="1"/>
  <c r="K54" i="62" a="1"/>
  <c r="K54" i="62" s="1"/>
  <c r="K39" i="63" a="1"/>
  <c r="K39" i="63" s="1"/>
  <c r="K40" i="62" a="1"/>
  <c r="K40" i="62" s="1"/>
  <c r="K51" i="62" a="1"/>
  <c r="K51" i="62" s="1"/>
  <c r="K26" i="63" a="1"/>
  <c r="K26" i="63" s="1"/>
  <c r="K42" i="62" a="1"/>
  <c r="K42" i="62" s="1"/>
  <c r="K41" i="62" a="1"/>
  <c r="K41" i="62" s="1"/>
  <c r="K27" i="62" a="1"/>
  <c r="K27" i="62" s="1"/>
  <c r="K53" i="62" a="1"/>
  <c r="K53" i="62" s="1"/>
  <c r="G25" i="68" a="1"/>
  <c r="G25" i="68" s="1"/>
  <c r="G30" i="68" a="1"/>
  <c r="G30" i="68" s="1"/>
  <c r="G27" i="68" a="1"/>
  <c r="G27" i="68" s="1"/>
  <c r="G26" i="68" a="1"/>
  <c r="G26" i="68" s="1"/>
  <c r="G31" i="68" a="1"/>
  <c r="G31" i="68" s="1"/>
  <c r="G29" i="68" a="1"/>
  <c r="G29" i="68" s="1"/>
  <c r="G22" i="68" a="1"/>
  <c r="G22" i="68" s="1"/>
  <c r="G21" i="68" a="1"/>
  <c r="G21" i="68" s="1"/>
  <c r="G23" i="68" a="1"/>
  <c r="G23" i="68" s="1"/>
  <c r="F17" i="68"/>
  <c r="I17" i="68" s="1"/>
  <c r="K29" i="64" s="1" a="1"/>
  <c r="K29" i="64" s="1"/>
  <c r="F19" i="68"/>
  <c r="I19" i="68" s="1"/>
  <c r="K33" i="62" s="1" a="1"/>
  <c r="K33" i="62" s="1"/>
  <c r="F18" i="68"/>
  <c r="I18" i="68" s="1"/>
  <c r="K30" i="63" s="1" a="1"/>
  <c r="K30" i="63" s="1"/>
  <c r="G16" i="68" a="1"/>
  <c r="G16" i="68" s="1"/>
  <c r="M26" i="63" s="1" a="1"/>
  <c r="M26" i="63" s="1"/>
  <c r="F28" i="68"/>
  <c r="I28" i="68" s="1"/>
  <c r="K48" i="63" s="1" a="1"/>
  <c r="K48" i="63" s="1"/>
  <c r="F20" i="68"/>
  <c r="I20" i="68" s="1"/>
  <c r="K34" i="64" s="1" a="1"/>
  <c r="K34" i="64" s="1"/>
  <c r="F24" i="68"/>
  <c r="I24" i="68" s="1"/>
  <c r="K44" i="63" s="1" a="1"/>
  <c r="K44" i="63" s="1"/>
  <c r="D15" i="57" a="1"/>
  <c r="D15" i="57" s="1"/>
  <c r="F52" i="57" a="1"/>
  <c r="F52" i="57" s="1"/>
  <c r="K49" i="62" l="1" a="1"/>
  <c r="K49" i="62" s="1"/>
  <c r="K43" i="63" a="1"/>
  <c r="K43" i="63" s="1"/>
  <c r="K32" i="63" a="1"/>
  <c r="K32" i="63" s="1"/>
  <c r="K48" i="64" a="1"/>
  <c r="K48" i="64" s="1"/>
  <c r="K32" i="62" a="1"/>
  <c r="K32" i="62" s="1"/>
  <c r="K33" i="63" a="1"/>
  <c r="K33" i="63" s="1"/>
  <c r="K30" i="64" a="1"/>
  <c r="K30" i="64" s="1"/>
  <c r="K34" i="62" a="1"/>
  <c r="K34" i="62" s="1"/>
  <c r="K50" i="64" a="1"/>
  <c r="K50" i="64" s="1"/>
  <c r="K44" i="62" a="1"/>
  <c r="K44" i="62" s="1"/>
  <c r="K31" i="63" a="1"/>
  <c r="K31" i="63" s="1"/>
  <c r="K48" i="62" a="1"/>
  <c r="K48" i="62" s="1"/>
  <c r="K32" i="64" a="1"/>
  <c r="K32" i="64" s="1"/>
  <c r="K29" i="63" a="1"/>
  <c r="K29" i="63" s="1"/>
  <c r="K38" i="62" a="1"/>
  <c r="K38" i="62" s="1"/>
  <c r="K35" i="62" a="1"/>
  <c r="K35" i="62" s="1"/>
  <c r="K29" i="62" a="1"/>
  <c r="K29" i="62" s="1"/>
  <c r="K43" i="62" a="1"/>
  <c r="K43" i="62" s="1"/>
  <c r="K38" i="64" a="1"/>
  <c r="K38" i="64" s="1"/>
  <c r="K33" i="64" a="1"/>
  <c r="K33" i="64" s="1"/>
  <c r="K49" i="63" a="1"/>
  <c r="K49" i="63" s="1"/>
  <c r="K38" i="63" a="1"/>
  <c r="K38" i="63" s="1"/>
  <c r="K37" i="62" a="1"/>
  <c r="K37" i="62" s="1"/>
  <c r="K30" i="62" a="1"/>
  <c r="K30" i="62" s="1"/>
  <c r="K31" i="62" a="1"/>
  <c r="K31" i="62" s="1"/>
  <c r="K36" i="63" a="1"/>
  <c r="K36" i="63" s="1"/>
  <c r="K50" i="63" a="1"/>
  <c r="K50" i="63" s="1"/>
  <c r="K36" i="62" a="1"/>
  <c r="K36" i="62" s="1"/>
  <c r="K35" i="64" a="1"/>
  <c r="K35" i="64" s="1"/>
  <c r="K43" i="64" a="1"/>
  <c r="K43" i="64" s="1"/>
  <c r="K36" i="64" a="1"/>
  <c r="K36" i="64" s="1"/>
  <c r="K37" i="64" a="1"/>
  <c r="K37" i="64" s="1"/>
  <c r="K35" i="63" a="1"/>
  <c r="K35" i="63" s="1"/>
  <c r="K44" i="64" a="1"/>
  <c r="K44" i="64" s="1"/>
  <c r="K31" i="64" a="1"/>
  <c r="K31" i="64" s="1"/>
  <c r="K49" i="64" a="1"/>
  <c r="K49" i="64" s="1"/>
  <c r="K50" i="62" a="1"/>
  <c r="K50" i="62" s="1"/>
  <c r="K34" i="63" a="1"/>
  <c r="K34" i="63" s="1"/>
  <c r="K37" i="63" a="1"/>
  <c r="K37" i="63" s="1"/>
  <c r="G28" i="68" a="1"/>
  <c r="G28" i="68" s="1"/>
  <c r="G24" i="68" a="1"/>
  <c r="G24" i="68" s="1"/>
  <c r="G19" i="68" a="1"/>
  <c r="G19" i="68" s="1"/>
  <c r="G17" i="68" a="1"/>
  <c r="G17" i="68" s="1"/>
  <c r="G18" i="68" a="1"/>
  <c r="G18" i="68" s="1"/>
  <c r="G20" i="68" a="1"/>
  <c r="G20" i="68" s="1"/>
  <c r="D13" i="57" a="1"/>
  <c r="D13" i="57" s="1"/>
  <c r="D14" i="57" a="1"/>
  <c r="D14" i="57" s="1"/>
  <c r="H1" i="64" l="1" a="1"/>
  <c r="H1" i="64" s="1"/>
  <c r="N8" i="57"/>
  <c r="H1" i="63" a="1"/>
  <c r="H1" i="63" s="1"/>
  <c r="V3" i="71"/>
  <c r="V34" i="71"/>
  <c r="C23" i="71"/>
  <c r="V35" i="71"/>
  <c r="V4" i="71"/>
  <c r="V36" i="71"/>
  <c r="C3" i="74" a="1"/>
  <c r="C3" i="74" s="1"/>
  <c r="C61" i="71"/>
  <c r="C35" i="71"/>
  <c r="C46" i="71"/>
  <c r="C41" i="71"/>
  <c r="C52" i="71"/>
  <c r="C7" i="71"/>
  <c r="C6" i="71"/>
  <c r="C56" i="71"/>
  <c r="C54" i="71"/>
  <c r="C60" i="71"/>
  <c r="C25" i="71"/>
  <c r="C55" i="71"/>
  <c r="C51" i="71"/>
  <c r="C16" i="71"/>
  <c r="C42" i="71"/>
  <c r="C48" i="71"/>
  <c r="C43" i="71"/>
  <c r="C50" i="71"/>
  <c r="C45" i="71"/>
  <c r="C49" i="71"/>
  <c r="C59" i="71"/>
  <c r="C58" i="71"/>
  <c r="C57" i="71"/>
  <c r="C64" i="71"/>
  <c r="C18" i="71"/>
  <c r="C63" i="71"/>
  <c r="C62" i="71"/>
  <c r="C36" i="71"/>
  <c r="C37" i="71"/>
  <c r="C34" i="71"/>
  <c r="C39" i="71"/>
  <c r="C40" i="71"/>
  <c r="C53" i="71"/>
  <c r="C38" i="71"/>
  <c r="C47" i="71"/>
  <c r="C44" i="71"/>
  <c r="C24" i="71"/>
  <c r="C4" i="71"/>
  <c r="C12" i="71"/>
  <c r="C17" i="71"/>
  <c r="C11" i="71"/>
  <c r="C21" i="71"/>
  <c r="C15" i="71"/>
  <c r="C2" i="71"/>
  <c r="C32" i="71"/>
  <c r="C29" i="71"/>
  <c r="C28" i="71"/>
  <c r="C14" i="71"/>
  <c r="C30" i="71"/>
  <c r="C19" i="71"/>
  <c r="C5" i="71"/>
  <c r="C9" i="71"/>
  <c r="C3" i="71"/>
  <c r="C27" i="71"/>
  <c r="C22" i="71"/>
  <c r="C10" i="71"/>
  <c r="C20" i="71"/>
  <c r="C31" i="71"/>
  <c r="C8" i="71"/>
  <c r="C13" i="71"/>
  <c r="C26" i="71"/>
  <c r="C4" i="74" a="1"/>
  <c r="C4" i="74" s="1"/>
  <c r="C11" i="74" a="1"/>
  <c r="C11" i="74" s="1"/>
  <c r="C93" i="71"/>
  <c r="C89" i="71"/>
  <c r="C85" i="71"/>
  <c r="C81" i="71"/>
  <c r="C77" i="71"/>
  <c r="C73" i="71"/>
  <c r="C69" i="71"/>
  <c r="C94" i="71"/>
  <c r="C86" i="71"/>
  <c r="C78" i="71"/>
  <c r="C74" i="71"/>
  <c r="C66" i="71"/>
  <c r="C92" i="71"/>
  <c r="C88" i="71"/>
  <c r="C72" i="71"/>
  <c r="C68" i="71"/>
  <c r="C95" i="71"/>
  <c r="C91" i="71"/>
  <c r="C87" i="71"/>
  <c r="C83" i="71"/>
  <c r="C79" i="71"/>
  <c r="C75" i="71"/>
  <c r="C71" i="71"/>
  <c r="C67" i="71"/>
  <c r="C96" i="71"/>
  <c r="C84" i="71"/>
  <c r="C76" i="71"/>
  <c r="C80" i="71"/>
  <c r="C90" i="71"/>
  <c r="C82" i="71"/>
  <c r="C70" i="71"/>
  <c r="V66" i="71"/>
  <c r="V67" i="71"/>
  <c r="V68" i="71"/>
  <c r="C7" i="74" a="1"/>
  <c r="C7" i="74" s="1"/>
  <c r="C10" i="74" a="1"/>
  <c r="C10" i="74" s="1"/>
  <c r="C6" i="74" a="1"/>
  <c r="C6" i="74" s="1"/>
  <c r="C9" i="74" a="1"/>
  <c r="C9" i="74" s="1"/>
  <c r="C2" i="74" a="1"/>
  <c r="C2" i="74" s="1"/>
  <c r="C8" i="74" a="1"/>
  <c r="C8" i="74" s="1"/>
  <c r="C5" i="74" a="1"/>
  <c r="C5" i="74" s="1"/>
  <c r="C12" i="74" a="1"/>
  <c r="C12" i="74" s="1"/>
  <c r="E52" i="57" a="1"/>
  <c r="E52" i="57" s="1"/>
  <c r="E54" i="57" a="1"/>
  <c r="E54" i="57" s="1"/>
  <c r="E53" i="57" a="1"/>
  <c r="E53" i="57" s="1"/>
  <c r="I6" i="57" l="1"/>
  <c r="G53" i="57" a="1"/>
  <c r="G53" i="57" s="1"/>
  <c r="G54" i="57" a="1"/>
  <c r="G54" i="57" s="1"/>
  <c r="F54" i="57" a="1"/>
  <c r="F54" i="57" s="1"/>
  <c r="F53" i="57" a="1"/>
  <c r="F53" i="57" s="1"/>
  <c r="F66" i="57" a="1"/>
  <c r="F66" i="57" s="1"/>
  <c r="G66" i="57" a="1"/>
  <c r="G66" i="57" s="1"/>
  <c r="E66" i="57" a="1"/>
  <c r="E66" i="57" s="1"/>
  <c r="G65" i="57" a="1"/>
  <c r="G65" i="57" s="1"/>
  <c r="F65" i="57" a="1"/>
  <c r="F65" i="57" s="1"/>
  <c r="E65" i="57" a="1"/>
  <c r="E65" i="57" s="1"/>
  <c r="F64" i="57" a="1"/>
  <c r="F64" i="57" s="1"/>
  <c r="E64" i="57" a="1"/>
  <c r="E64" i="57" s="1"/>
  <c r="G63" i="57" a="1"/>
  <c r="G63" i="57" s="1"/>
  <c r="F63" i="57" a="1"/>
  <c r="F63" i="57" s="1"/>
  <c r="E63" i="57" a="1"/>
  <c r="E63" i="57" s="1"/>
  <c r="G62" i="57" a="1"/>
  <c r="G62" i="57" s="1"/>
  <c r="F62" i="57" a="1"/>
  <c r="F62" i="57" s="1"/>
  <c r="E62" i="57" a="1"/>
  <c r="E62" i="57" s="1"/>
  <c r="G61" i="57" a="1"/>
  <c r="G61" i="57" s="1"/>
  <c r="F61" i="57" a="1"/>
  <c r="F61" i="57" s="1"/>
  <c r="E61" i="57" a="1"/>
  <c r="E61" i="57" s="1"/>
  <c r="G60" i="57" a="1"/>
  <c r="G60" i="57" s="1"/>
  <c r="F60" i="57" a="1"/>
  <c r="F60" i="57" s="1"/>
  <c r="F59" i="57" a="1"/>
  <c r="F59" i="57" s="1"/>
  <c r="G59" i="57" a="1"/>
  <c r="G59" i="57" s="1"/>
  <c r="E59" i="57" a="1"/>
  <c r="E59" i="57" s="1"/>
  <c r="G58" i="57" a="1"/>
  <c r="G58" i="57" s="1"/>
  <c r="F58" i="57" a="1"/>
  <c r="F58" i="57" s="1"/>
  <c r="E58" i="57" a="1"/>
  <c r="E58" i="57" s="1"/>
  <c r="G57" i="57" a="1"/>
  <c r="G57" i="57" s="1"/>
  <c r="F57" i="57" a="1"/>
  <c r="F57" i="57" s="1"/>
  <c r="E57" i="57" a="1"/>
  <c r="E57" i="57" s="1"/>
  <c r="G56" i="57" a="1"/>
  <c r="G56" i="57" s="1"/>
  <c r="F56" i="57" a="1"/>
  <c r="F56" i="57" s="1"/>
  <c r="E56" i="57" a="1"/>
  <c r="E56" i="57" s="1"/>
  <c r="G55" i="57" a="1"/>
  <c r="G55" i="57" s="1"/>
  <c r="F55" i="57" a="1"/>
  <c r="F55" i="57" s="1"/>
  <c r="E55" i="57" a="1"/>
  <c r="E55" i="57" s="1"/>
  <c r="G51" i="57" a="1"/>
  <c r="G51" i="57" s="1"/>
  <c r="F51" i="57" a="1"/>
  <c r="F51" i="57" s="1"/>
  <c r="J51" i="57" a="1"/>
  <c r="J51" i="57" s="1"/>
  <c r="J59" i="57" l="1" a="1"/>
  <c r="J59" i="57" s="1"/>
  <c r="J55" i="57" a="1"/>
  <c r="J55" i="57" s="1"/>
  <c r="J63" i="57" a="1"/>
  <c r="J63" i="57" s="1"/>
  <c r="L51" i="57" a="1"/>
  <c r="L51" i="57" s="1"/>
  <c r="R76" i="57" l="1" a="1"/>
  <c r="R76" i="57" s="1"/>
  <c r="R73" i="57" a="1"/>
  <c r="R73" i="57" s="1"/>
  <c r="R72" i="57" a="1"/>
  <c r="R72" i="57" s="1"/>
  <c r="R74" i="57" a="1"/>
  <c r="R74" i="57" s="1"/>
  <c r="R75" i="57" a="1"/>
  <c r="R75" i="57" s="1"/>
  <c r="R77" i="57" a="1"/>
  <c r="R77" i="57" s="1"/>
  <c r="G12" i="57" l="1" a="1"/>
  <c r="G12" i="57" s="1"/>
  <c r="V8" i="71"/>
  <c r="V7" i="71"/>
  <c r="V5" i="71"/>
  <c r="V81" i="71"/>
  <c r="V85" i="71"/>
  <c r="V53" i="71"/>
  <c r="V21" i="71"/>
  <c r="V48" i="71"/>
  <c r="V16" i="71"/>
  <c r="V23" i="71"/>
  <c r="V54" i="71"/>
  <c r="V19" i="71"/>
  <c r="V82" i="71"/>
  <c r="V91" i="71"/>
  <c r="V90" i="71"/>
  <c r="V25" i="71"/>
  <c r="V57" i="71"/>
  <c r="V78" i="71"/>
  <c r="V74" i="71"/>
  <c r="V14" i="71"/>
  <c r="V42" i="71"/>
  <c r="V10" i="71"/>
  <c r="V11" i="71"/>
  <c r="V12" i="71"/>
  <c r="V96" i="71"/>
  <c r="V64" i="71"/>
  <c r="V32" i="71"/>
  <c r="V59" i="71"/>
  <c r="V93" i="71"/>
  <c r="V61" i="71"/>
  <c r="V92" i="71"/>
  <c r="V60" i="71"/>
  <c r="V28" i="71"/>
  <c r="V29" i="71"/>
  <c r="V27" i="71"/>
  <c r="V56" i="71"/>
  <c r="V88" i="71"/>
  <c r="V89" i="71"/>
  <c r="V58" i="71"/>
  <c r="V26" i="71"/>
  <c r="V24" i="71"/>
  <c r="V55" i="71"/>
  <c r="V87" i="71"/>
  <c r="V86" i="71"/>
  <c r="V22" i="71"/>
  <c r="V84" i="71"/>
  <c r="V83" i="71"/>
  <c r="V51" i="71"/>
  <c r="V52" i="71"/>
  <c r="V20" i="71"/>
  <c r="V50" i="71"/>
  <c r="V18" i="71"/>
  <c r="V49" i="71"/>
  <c r="V17" i="71"/>
  <c r="V47" i="71"/>
  <c r="V79" i="71"/>
  <c r="V80" i="71"/>
  <c r="V15" i="71"/>
  <c r="V77" i="71"/>
  <c r="V76" i="71"/>
  <c r="V46" i="71"/>
  <c r="V75" i="71"/>
  <c r="V45" i="71"/>
  <c r="V44" i="71"/>
  <c r="V43" i="71"/>
  <c r="V13" i="71"/>
  <c r="V73" i="71"/>
  <c r="V41" i="71"/>
  <c r="V9" i="71"/>
  <c r="V70" i="71"/>
  <c r="V38" i="71"/>
  <c r="V40" i="71"/>
  <c r="V39" i="71"/>
  <c r="V72" i="71"/>
  <c r="V71" i="71"/>
  <c r="V6" i="71"/>
  <c r="V37" i="71"/>
  <c r="V69" i="71"/>
  <c r="N55" i="71"/>
  <c r="N23" i="71"/>
  <c r="N87" i="71"/>
  <c r="N53" i="71"/>
  <c r="N21" i="71"/>
  <c r="N85" i="71"/>
  <c r="N83" i="71"/>
  <c r="N20" i="71"/>
  <c r="N52" i="71"/>
  <c r="N19" i="71"/>
  <c r="N84" i="71"/>
  <c r="N51" i="71"/>
  <c r="N5" i="71"/>
  <c r="N69" i="71"/>
  <c r="N37" i="71"/>
  <c r="X34" i="71"/>
  <c r="N67" i="71"/>
  <c r="N34" i="71"/>
  <c r="N66" i="71"/>
  <c r="N2" i="71"/>
  <c r="N36" i="71"/>
  <c r="N4" i="71"/>
  <c r="N68" i="71"/>
  <c r="N35" i="71"/>
  <c r="N3" i="71"/>
  <c r="N9" i="71"/>
  <c r="N41" i="71"/>
  <c r="N73" i="71"/>
  <c r="N50" i="71"/>
  <c r="N82" i="71"/>
  <c r="N18" i="71"/>
  <c r="N17" i="71"/>
  <c r="N49" i="71"/>
  <c r="N81" i="71"/>
  <c r="N91" i="71"/>
  <c r="N61" i="71"/>
  <c r="N29" i="71"/>
  <c r="N93" i="71"/>
  <c r="N60" i="71"/>
  <c r="N27" i="71"/>
  <c r="N92" i="71"/>
  <c r="N59" i="71"/>
  <c r="N28" i="71"/>
  <c r="N79" i="71"/>
  <c r="N16" i="71"/>
  <c r="N47" i="71"/>
  <c r="N48" i="71"/>
  <c r="N15" i="71"/>
  <c r="N80" i="71"/>
  <c r="N86" i="71"/>
  <c r="N22" i="71"/>
  <c r="N54" i="71"/>
  <c r="N7" i="71"/>
  <c r="N72" i="71"/>
  <c r="N6" i="71"/>
  <c r="N40" i="71"/>
  <c r="N8" i="71"/>
  <c r="N39" i="71"/>
  <c r="N71" i="71"/>
  <c r="N38" i="71"/>
  <c r="N70" i="71"/>
  <c r="N32" i="71"/>
  <c r="N96" i="71"/>
  <c r="N64" i="71"/>
  <c r="N58" i="71"/>
  <c r="N26" i="71"/>
  <c r="N88" i="71"/>
  <c r="N90" i="71"/>
  <c r="N57" i="71"/>
  <c r="N24" i="71"/>
  <c r="N89" i="71"/>
  <c r="N56" i="71"/>
  <c r="N25" i="71"/>
  <c r="N75" i="71"/>
  <c r="N42" i="71"/>
  <c r="N11" i="71"/>
  <c r="N46" i="71"/>
  <c r="N12" i="71"/>
  <c r="N74" i="71"/>
  <c r="N78" i="71"/>
  <c r="N45" i="71"/>
  <c r="N13" i="71"/>
  <c r="N77" i="71"/>
  <c r="N44" i="71"/>
  <c r="N14" i="71"/>
  <c r="N76" i="71"/>
  <c r="N43" i="71"/>
  <c r="N10" i="71"/>
  <c r="V94" i="71" l="1"/>
  <c r="V31" i="71"/>
  <c r="V30" i="71"/>
  <c r="V62" i="71"/>
  <c r="V95" i="71"/>
  <c r="V63" i="71"/>
  <c r="N30" i="71"/>
  <c r="N95" i="71"/>
  <c r="N62" i="71"/>
  <c r="N31" i="71"/>
  <c r="N63" i="71"/>
  <c r="N94" i="71"/>
  <c r="H18" i="57" l="1"/>
  <c r="L55" i="57" l="1" a="1"/>
  <c r="L55" i="57" s="1"/>
  <c r="G18" i="57"/>
  <c r="L63" i="57" a="1"/>
  <c r="L63" i="57" s="1"/>
  <c r="L59" i="57" a="1"/>
  <c r="L59" i="57" s="1"/>
  <c r="G20" i="57" l="1"/>
  <c r="G19" i="57"/>
  <c r="R82" i="57" a="1"/>
  <c r="R82" i="57" s="1"/>
  <c r="R79" i="57" a="1"/>
  <c r="R79" i="57" s="1"/>
  <c r="R84" i="57" a="1"/>
  <c r="R84" i="57" s="1"/>
  <c r="R81" i="57" a="1"/>
  <c r="R81" i="57" s="1"/>
  <c r="R78" i="57" a="1"/>
  <c r="R78" i="57" s="1"/>
  <c r="R83" i="57" a="1"/>
  <c r="R83" i="57" s="1"/>
  <c r="R80" i="57" a="1"/>
  <c r="R80" i="57" s="1"/>
  <c r="G21" i="57"/>
  <c r="R90" i="57" a="1"/>
  <c r="R90" i="57" s="1"/>
  <c r="R87" i="57" a="1"/>
  <c r="R87" i="57" s="1"/>
  <c r="R89" i="57" a="1"/>
  <c r="R89" i="57" s="1"/>
  <c r="R88" i="57" a="1"/>
  <c r="R88" i="57" s="1"/>
  <c r="R85" i="57" a="1"/>
  <c r="R85" i="57" s="1"/>
  <c r="R86" i="57" a="1"/>
  <c r="R86" i="57" s="1"/>
  <c r="G14" i="57" l="1" a="1"/>
  <c r="G14" i="57" s="1"/>
  <c r="G13" i="57" a="1"/>
  <c r="G13" i="57" s="1"/>
  <c r="G15" i="57" a="1"/>
  <c r="G15" i="57" s="1"/>
  <c r="E20" i="57" l="1"/>
  <c r="K55" i="57" a="1"/>
  <c r="K55" i="57" s="1"/>
  <c r="K59" i="57" a="1"/>
  <c r="K59" i="57" s="1"/>
  <c r="K63" i="57" a="1"/>
  <c r="K63" i="57" s="1"/>
  <c r="K51" i="57" a="1"/>
  <c r="K51" i="57" s="1"/>
  <c r="F20" i="57" l="1"/>
  <c r="F19" i="57"/>
  <c r="Q82" i="57" a="1"/>
  <c r="Q82" i="57" s="1"/>
  <c r="Q79" i="57" a="1"/>
  <c r="Q79" i="57" s="1"/>
  <c r="Q84" i="57" a="1"/>
  <c r="Q84" i="57" s="1"/>
  <c r="Q80" i="57" a="1"/>
  <c r="Q80" i="57" s="1"/>
  <c r="Q81" i="57" a="1"/>
  <c r="Q81" i="57" s="1"/>
  <c r="Q78" i="57" a="1"/>
  <c r="Q78" i="57" s="1"/>
  <c r="Q83" i="57" a="1"/>
  <c r="Q83" i="57" s="1"/>
  <c r="F21" i="57"/>
  <c r="Q85" i="57" a="1"/>
  <c r="Q85" i="57" s="1"/>
  <c r="Q90" i="57" a="1"/>
  <c r="Q90" i="57" s="1"/>
  <c r="Q87" i="57" a="1"/>
  <c r="Q87" i="57" s="1"/>
  <c r="Q89" i="57" a="1"/>
  <c r="Q89" i="57" s="1"/>
  <c r="Q86" i="57" a="1"/>
  <c r="Q86" i="57" s="1"/>
  <c r="Q88" i="57" a="1"/>
  <c r="Q88" i="57" s="1"/>
  <c r="Q77" i="57" a="1"/>
  <c r="Q77" i="57" s="1"/>
  <c r="Q74" i="57" a="1"/>
  <c r="Q74" i="57" s="1"/>
  <c r="Q73" i="57" a="1"/>
  <c r="Q73" i="57" s="1"/>
  <c r="Q76" i="57" a="1"/>
  <c r="Q76" i="57" s="1"/>
  <c r="Q72" i="57" a="1"/>
  <c r="Q72" i="57" s="1"/>
  <c r="Q75" i="57" a="1"/>
  <c r="Q75" i="57" s="1"/>
  <c r="E21" i="57"/>
  <c r="P88" i="57" a="1"/>
  <c r="P88" i="57" s="1"/>
  <c r="P85" i="57" a="1"/>
  <c r="P85" i="57" s="1"/>
  <c r="P90" i="57" a="1"/>
  <c r="P90" i="57" s="1"/>
  <c r="P87" i="57" a="1"/>
  <c r="P87" i="57" s="1"/>
  <c r="P89" i="57" a="1"/>
  <c r="P89" i="57" s="1"/>
  <c r="P86" i="57" a="1"/>
  <c r="P86" i="57" s="1"/>
  <c r="P73" i="57" a="1"/>
  <c r="P73" i="57" s="1"/>
  <c r="L73" i="57" s="1" a="1"/>
  <c r="L73" i="57" s="1"/>
  <c r="P77" i="57" a="1"/>
  <c r="P77" i="57" s="1"/>
  <c r="P76" i="57" a="1"/>
  <c r="P76" i="57" s="1"/>
  <c r="P75" i="57" a="1"/>
  <c r="P75" i="57" s="1"/>
  <c r="P74" i="57" a="1"/>
  <c r="P74" i="57" s="1"/>
  <c r="P72" i="57" a="1"/>
  <c r="P72" i="57" s="1"/>
  <c r="E19" i="57"/>
  <c r="P80" i="57" a="1"/>
  <c r="P80" i="57" s="1"/>
  <c r="P82" i="57" a="1"/>
  <c r="P82" i="57" s="1"/>
  <c r="P79" i="57" a="1"/>
  <c r="P79" i="57" s="1"/>
  <c r="P84" i="57" a="1"/>
  <c r="P84" i="57" s="1"/>
  <c r="P81" i="57" a="1"/>
  <c r="P81" i="57" s="1"/>
  <c r="P78" i="57" a="1"/>
  <c r="P78" i="57" s="1"/>
  <c r="P83" i="57" a="1"/>
  <c r="P83" i="57" s="1"/>
  <c r="E18" i="57"/>
  <c r="F18" i="57"/>
  <c r="K72" i="57" a="1"/>
  <c r="K72" i="57" s="1"/>
  <c r="K81" i="57" a="1"/>
  <c r="K81" i="57" s="1"/>
  <c r="K78" i="57" a="1"/>
  <c r="K78" i="57" s="1"/>
  <c r="K85" i="57" a="1"/>
  <c r="K85" i="57" s="1"/>
  <c r="I15" i="57" l="1" a="1"/>
  <c r="I15" i="57" s="1"/>
  <c r="I14" i="57" a="1"/>
  <c r="I14" i="57" s="1"/>
  <c r="J18" i="57" a="1"/>
  <c r="J18" i="57" s="1"/>
  <c r="E12" i="57" a="1"/>
  <c r="E12" i="57" s="1"/>
  <c r="F12" i="57" a="1"/>
  <c r="F12" i="57" s="1"/>
  <c r="E13" i="57" a="1"/>
  <c r="E13" i="57" s="1"/>
  <c r="E15" i="57" a="1"/>
  <c r="E15" i="57" s="1"/>
  <c r="F13" i="57" a="1"/>
  <c r="F13" i="57" s="1"/>
  <c r="E14" i="57" a="1"/>
  <c r="E14" i="57" s="1"/>
  <c r="F15" i="57" a="1"/>
  <c r="F15" i="57" s="1"/>
  <c r="F14" i="57" a="1"/>
  <c r="F14" i="57" s="1"/>
  <c r="M73" i="57" a="1"/>
  <c r="M73" i="57" s="1"/>
  <c r="L72" i="57" a="1"/>
  <c r="L72" i="57" s="1"/>
  <c r="N73" i="57" a="1"/>
  <c r="N73" i="57" s="1"/>
  <c r="S68" i="71"/>
  <c r="J28" i="64" a="1"/>
  <c r="J28" i="64" s="1"/>
  <c r="U68" i="71" s="1"/>
  <c r="J28" i="63" a="1"/>
  <c r="J28" i="63" s="1"/>
  <c r="U36" i="71" s="1"/>
  <c r="S37" i="71"/>
  <c r="S36" i="71"/>
  <c r="J28" i="62" a="1"/>
  <c r="J28" i="62" s="1"/>
  <c r="U4" i="71" s="1"/>
  <c r="S4" i="71"/>
  <c r="D36" i="57" l="1" a="1"/>
  <c r="D36" i="57" s="1"/>
  <c r="D7" i="57"/>
  <c r="V2" i="71" s="1"/>
  <c r="I7" i="57"/>
  <c r="A8" i="57" a="1"/>
  <c r="A8" i="57" s="1"/>
  <c r="I5" i="57"/>
  <c r="I8" i="57"/>
  <c r="I8" i="72"/>
  <c r="D8" i="72"/>
  <c r="D8" i="57"/>
  <c r="A8" i="72" a="1"/>
  <c r="A8" i="72" s="1"/>
  <c r="J12" i="57" a="1"/>
  <c r="J12" i="57" s="1"/>
  <c r="J20" i="57" a="1"/>
  <c r="J20" i="57" s="1"/>
  <c r="L74" i="57" a="1"/>
  <c r="L74" i="57" s="1"/>
  <c r="N79" i="57" a="1"/>
  <c r="N79" i="57" s="1"/>
  <c r="M81" i="57" a="1"/>
  <c r="M81" i="57" s="1"/>
  <c r="L89" i="57" a="1"/>
  <c r="L89" i="57" s="1"/>
  <c r="N75" i="57" a="1"/>
  <c r="N75" i="57" s="1"/>
  <c r="N77" i="57" a="1"/>
  <c r="N77" i="57" s="1"/>
  <c r="M82" i="57" a="1"/>
  <c r="M82" i="57" s="1"/>
  <c r="L83" i="57" a="1"/>
  <c r="L83" i="57" s="1"/>
  <c r="L86" i="57" a="1"/>
  <c r="L86" i="57" s="1"/>
  <c r="L85" i="57" a="1"/>
  <c r="L85" i="57" s="1"/>
  <c r="L90" i="57" a="1"/>
  <c r="L90" i="57" s="1"/>
  <c r="N81" i="57" a="1"/>
  <c r="N81" i="57" s="1"/>
  <c r="L87" i="57" a="1"/>
  <c r="L87" i="57" s="1"/>
  <c r="M89" i="57" a="1"/>
  <c r="M89" i="57" s="1"/>
  <c r="L80" i="57" a="1"/>
  <c r="L80" i="57" s="1"/>
  <c r="M83" i="57" a="1"/>
  <c r="M83" i="57" s="1"/>
  <c r="M85" i="57" a="1"/>
  <c r="M85" i="57" s="1"/>
  <c r="L76" i="57" a="1"/>
  <c r="L76" i="57" s="1"/>
  <c r="L78" i="57" a="1"/>
  <c r="L78" i="57" s="1"/>
  <c r="M80" i="57" a="1"/>
  <c r="M80" i="57" s="1"/>
  <c r="N82" i="57" a="1"/>
  <c r="N82" i="57" s="1"/>
  <c r="N83" i="57" a="1"/>
  <c r="N83" i="57" s="1"/>
  <c r="M86" i="57" a="1"/>
  <c r="M86" i="57" s="1"/>
  <c r="N85" i="57" a="1"/>
  <c r="N85" i="57" s="1"/>
  <c r="M90" i="57" a="1"/>
  <c r="M90" i="57" s="1"/>
  <c r="M75" i="57" a="1"/>
  <c r="M75" i="57" s="1"/>
  <c r="M74" i="57" a="1"/>
  <c r="M74" i="57" s="1"/>
  <c r="M76" i="57" a="1"/>
  <c r="M76" i="57" s="1"/>
  <c r="N78" i="57" a="1"/>
  <c r="N78" i="57" s="1"/>
  <c r="N80" i="57" a="1"/>
  <c r="N80" i="57" s="1"/>
  <c r="M87" i="57" a="1"/>
  <c r="M87" i="57" s="1"/>
  <c r="L88" i="57" a="1"/>
  <c r="L88" i="57" s="1"/>
  <c r="N89" i="57" a="1"/>
  <c r="N89" i="57" s="1"/>
  <c r="N72" i="57" a="1"/>
  <c r="N72" i="57" s="1"/>
  <c r="M77" i="57" a="1"/>
  <c r="M77" i="57" s="1"/>
  <c r="M72" i="57" a="1"/>
  <c r="M72" i="57" s="1"/>
  <c r="N74" i="57" a="1"/>
  <c r="N74" i="57" s="1"/>
  <c r="N76" i="57" a="1"/>
  <c r="N76" i="57" s="1"/>
  <c r="L79" i="57" a="1"/>
  <c r="L79" i="57" s="1"/>
  <c r="L84" i="57" a="1"/>
  <c r="L84" i="57" s="1"/>
  <c r="N86" i="57" a="1"/>
  <c r="N86" i="57" s="1"/>
  <c r="M88" i="57" a="1"/>
  <c r="M88" i="57" s="1"/>
  <c r="N90" i="57" a="1"/>
  <c r="N90" i="57" s="1"/>
  <c r="M79" i="57" a="1"/>
  <c r="M79" i="57" s="1"/>
  <c r="L81" i="57" a="1"/>
  <c r="L81" i="57" s="1"/>
  <c r="M84" i="57" a="1"/>
  <c r="M84" i="57" s="1"/>
  <c r="N87" i="57" a="1"/>
  <c r="N87" i="57" s="1"/>
  <c r="N88" i="57" a="1"/>
  <c r="N88" i="57" s="1"/>
  <c r="L75" i="57" a="1"/>
  <c r="L75" i="57" s="1"/>
  <c r="L77" i="57" a="1"/>
  <c r="L77" i="57" s="1"/>
  <c r="M78" i="57" a="1"/>
  <c r="M78" i="57" s="1"/>
  <c r="L82" i="57" a="1"/>
  <c r="L82" i="57" s="1"/>
  <c r="N84" i="57" a="1"/>
  <c r="N84" i="57" s="1"/>
  <c r="J22" i="57" l="1" a="1"/>
  <c r="J22" i="57" s="1"/>
  <c r="I23" i="57" s="1" a="1"/>
  <c r="I23" i="57" s="1"/>
  <c r="C35" i="57" a="1"/>
  <c r="C35" i="57" s="1"/>
  <c r="O89" i="71"/>
  <c r="O57" i="71"/>
  <c r="O92" i="71"/>
  <c r="O61" i="71"/>
  <c r="O58" i="71"/>
  <c r="O31" i="71"/>
  <c r="O27" i="71"/>
  <c r="O60" i="71"/>
  <c r="O30" i="71"/>
  <c r="O64" i="71"/>
  <c r="O91" i="71"/>
  <c r="O59" i="71"/>
  <c r="O95" i="71"/>
  <c r="O32" i="71"/>
  <c r="O28" i="71"/>
  <c r="O56" i="71"/>
  <c r="O94" i="71"/>
  <c r="O29" i="71"/>
  <c r="O90" i="71"/>
  <c r="O63" i="71"/>
  <c r="O93" i="71"/>
  <c r="O96" i="71"/>
  <c r="O25" i="71"/>
  <c r="O62" i="71"/>
  <c r="O88" i="71"/>
  <c r="O24" i="71"/>
  <c r="O26" i="71"/>
  <c r="J27" i="62" a="1"/>
  <c r="J27" i="62" s="1"/>
  <c r="U3" i="71" s="1"/>
  <c r="J27" i="63" a="1"/>
  <c r="J27" i="63" s="1"/>
  <c r="U35" i="71" s="1"/>
  <c r="J27" i="64" a="1"/>
  <c r="J27" i="64" s="1"/>
  <c r="U67" i="71" s="1"/>
  <c r="J56" i="64" a="1"/>
  <c r="J56" i="64" s="1"/>
  <c r="U96" i="71" s="1"/>
  <c r="S96" i="71"/>
  <c r="J55" i="64" a="1"/>
  <c r="J55" i="64" s="1"/>
  <c r="U95" i="71" s="1"/>
  <c r="S95" i="71"/>
  <c r="J54" i="64" a="1"/>
  <c r="J54" i="64" s="1"/>
  <c r="U94" i="71" s="1"/>
  <c r="S94" i="71"/>
  <c r="J53" i="64" a="1"/>
  <c r="J53" i="64" s="1"/>
  <c r="U93" i="71" s="1"/>
  <c r="S93" i="71"/>
  <c r="J52" i="64" a="1"/>
  <c r="J52" i="64" s="1"/>
  <c r="U92" i="71" s="1"/>
  <c r="S92" i="71"/>
  <c r="J51" i="64" a="1"/>
  <c r="J51" i="64" s="1"/>
  <c r="U91" i="71" s="1"/>
  <c r="S91" i="71"/>
  <c r="J50" i="64" a="1"/>
  <c r="J50" i="64" s="1"/>
  <c r="U90" i="71" s="1"/>
  <c r="S90" i="71"/>
  <c r="J49" i="64" a="1"/>
  <c r="J49" i="64" s="1"/>
  <c r="U89" i="71" s="1"/>
  <c r="S89" i="71"/>
  <c r="J48" i="64" a="1"/>
  <c r="J48" i="64" s="1"/>
  <c r="U88" i="71" s="1"/>
  <c r="S88" i="71"/>
  <c r="J47" i="64" a="1"/>
  <c r="J47" i="64" s="1"/>
  <c r="U87" i="71" s="1"/>
  <c r="S87" i="71"/>
  <c r="J46" i="64" a="1"/>
  <c r="J46" i="64" s="1"/>
  <c r="U86" i="71" s="1"/>
  <c r="S86" i="71"/>
  <c r="J45" i="64" a="1"/>
  <c r="J45" i="64" s="1"/>
  <c r="U85" i="71" s="1"/>
  <c r="S85" i="71"/>
  <c r="J44" i="64" a="1"/>
  <c r="J44" i="64" s="1"/>
  <c r="U84" i="71" s="1"/>
  <c r="S84" i="71"/>
  <c r="J43" i="64" a="1"/>
  <c r="J43" i="64" s="1"/>
  <c r="U83" i="71" s="1"/>
  <c r="S83" i="71"/>
  <c r="J42" i="64" a="1"/>
  <c r="J42" i="64" s="1"/>
  <c r="U82" i="71" s="1"/>
  <c r="S82" i="71"/>
  <c r="J41" i="64" a="1"/>
  <c r="J41" i="64" s="1"/>
  <c r="U81" i="71" s="1"/>
  <c r="S81" i="71"/>
  <c r="J40" i="64" a="1"/>
  <c r="J40" i="64" s="1"/>
  <c r="U80" i="71" s="1"/>
  <c r="S80" i="71"/>
  <c r="J39" i="64" a="1"/>
  <c r="J39" i="64" s="1"/>
  <c r="U79" i="71" s="1"/>
  <c r="S79" i="71"/>
  <c r="J38" i="64" a="1"/>
  <c r="J38" i="64" s="1"/>
  <c r="U78" i="71" s="1"/>
  <c r="S78" i="71"/>
  <c r="J37" i="64" a="1"/>
  <c r="J37" i="64" s="1"/>
  <c r="U77" i="71" s="1"/>
  <c r="S77" i="71"/>
  <c r="J36" i="64" a="1"/>
  <c r="J36" i="64" s="1"/>
  <c r="U76" i="71" s="1"/>
  <c r="S76" i="71"/>
  <c r="J35" i="64" a="1"/>
  <c r="J35" i="64" s="1"/>
  <c r="U75" i="71" s="1"/>
  <c r="S75" i="71"/>
  <c r="J34" i="64" a="1"/>
  <c r="J34" i="64" s="1"/>
  <c r="U74" i="71" s="1"/>
  <c r="S74" i="71"/>
  <c r="U73" i="71"/>
  <c r="S73" i="71"/>
  <c r="J32" i="64" a="1"/>
  <c r="J32" i="64" s="1"/>
  <c r="U72" i="71" s="1"/>
  <c r="S72" i="71"/>
  <c r="J31" i="64" a="1"/>
  <c r="J31" i="64" s="1"/>
  <c r="U71" i="71" s="1"/>
  <c r="S71" i="71"/>
  <c r="J30" i="64" a="1"/>
  <c r="J30" i="64" s="1"/>
  <c r="U70" i="71" s="1"/>
  <c r="S70" i="71"/>
  <c r="J29" i="64" a="1"/>
  <c r="J29" i="64" s="1"/>
  <c r="U69" i="71" s="1"/>
  <c r="S69" i="71"/>
  <c r="S67" i="71"/>
  <c r="J26" i="64" a="1"/>
  <c r="J26" i="64" s="1"/>
  <c r="U66" i="71" s="1"/>
  <c r="S66" i="71"/>
  <c r="J56" i="63" a="1"/>
  <c r="J56" i="63" s="1"/>
  <c r="U64" i="71" s="1"/>
  <c r="S64" i="71"/>
  <c r="J55" i="63" a="1"/>
  <c r="J55" i="63" s="1"/>
  <c r="U63" i="71" s="1"/>
  <c r="S63" i="71"/>
  <c r="J54" i="63" a="1"/>
  <c r="J54" i="63" s="1"/>
  <c r="U62" i="71" s="1"/>
  <c r="S62" i="71"/>
  <c r="J53" i="63" a="1"/>
  <c r="J53" i="63" s="1"/>
  <c r="U61" i="71" s="1"/>
  <c r="S61" i="71"/>
  <c r="U60" i="71"/>
  <c r="S60" i="71"/>
  <c r="J51" i="63" a="1"/>
  <c r="J51" i="63" s="1"/>
  <c r="U59" i="71" s="1"/>
  <c r="S59" i="71"/>
  <c r="J50" i="63" a="1"/>
  <c r="J50" i="63" s="1"/>
  <c r="U58" i="71" s="1"/>
  <c r="S58" i="71"/>
  <c r="J49" i="63" a="1"/>
  <c r="J49" i="63" s="1"/>
  <c r="U57" i="71" s="1"/>
  <c r="S57" i="71"/>
  <c r="J48" i="63" a="1"/>
  <c r="J48" i="63" s="1"/>
  <c r="U56" i="71" s="1"/>
  <c r="S56" i="71"/>
  <c r="J47" i="63" a="1"/>
  <c r="J47" i="63" s="1"/>
  <c r="U55" i="71" s="1"/>
  <c r="S55" i="71"/>
  <c r="J46" i="63" a="1"/>
  <c r="J46" i="63" s="1"/>
  <c r="U54" i="71" s="1"/>
  <c r="S54" i="71"/>
  <c r="J45" i="63" a="1"/>
  <c r="J45" i="63" s="1"/>
  <c r="U53" i="71" s="1"/>
  <c r="S53" i="71"/>
  <c r="J44" i="63" a="1"/>
  <c r="J44" i="63" s="1"/>
  <c r="U52" i="71" s="1"/>
  <c r="S52" i="71"/>
  <c r="J43" i="63" a="1"/>
  <c r="J43" i="63" s="1"/>
  <c r="U51" i="71" s="1"/>
  <c r="S51" i="71"/>
  <c r="J42" i="63" a="1"/>
  <c r="J42" i="63" s="1"/>
  <c r="U50" i="71" s="1"/>
  <c r="S50" i="71"/>
  <c r="J41" i="63" a="1"/>
  <c r="J41" i="63" s="1"/>
  <c r="U49" i="71" s="1"/>
  <c r="S49" i="71"/>
  <c r="J40" i="63" a="1"/>
  <c r="J40" i="63" s="1"/>
  <c r="U48" i="71" s="1"/>
  <c r="S48" i="71"/>
  <c r="J39" i="63" a="1"/>
  <c r="J39" i="63" s="1"/>
  <c r="U47" i="71" s="1"/>
  <c r="S47" i="71"/>
  <c r="J38" i="63" a="1"/>
  <c r="J38" i="63" s="1"/>
  <c r="U46" i="71" s="1"/>
  <c r="S46" i="71"/>
  <c r="J37" i="63" a="1"/>
  <c r="J37" i="63" s="1"/>
  <c r="U45" i="71" s="1"/>
  <c r="S45" i="71"/>
  <c r="J36" i="63" a="1"/>
  <c r="J36" i="63" s="1"/>
  <c r="U44" i="71" s="1"/>
  <c r="S44" i="71"/>
  <c r="J35" i="63" a="1"/>
  <c r="J35" i="63" s="1"/>
  <c r="U43" i="71" s="1"/>
  <c r="S43" i="71"/>
  <c r="J34" i="63" a="1"/>
  <c r="J34" i="63" s="1"/>
  <c r="U42" i="71" s="1"/>
  <c r="S42" i="71"/>
  <c r="U41" i="71"/>
  <c r="S41" i="71"/>
  <c r="J32" i="63" a="1"/>
  <c r="J32" i="63" s="1"/>
  <c r="U40" i="71" s="1"/>
  <c r="S40" i="71"/>
  <c r="J31" i="63" a="1"/>
  <c r="J31" i="63" s="1"/>
  <c r="U39" i="71" s="1"/>
  <c r="S39" i="71"/>
  <c r="J30" i="63" a="1"/>
  <c r="J30" i="63" s="1"/>
  <c r="U38" i="71" s="1"/>
  <c r="S38" i="71"/>
  <c r="J29" i="63" a="1"/>
  <c r="J29" i="63" s="1"/>
  <c r="U37" i="71" s="1"/>
  <c r="S35" i="71"/>
  <c r="J26" i="63" a="1"/>
  <c r="J26" i="63" s="1"/>
  <c r="U34" i="71" s="1"/>
  <c r="J35" i="62" a="1"/>
  <c r="J35" i="62" s="1"/>
  <c r="U11" i="71" s="1"/>
  <c r="J34" i="62" a="1"/>
  <c r="J34" i="62" s="1"/>
  <c r="U10" i="71" s="1"/>
  <c r="U9" i="71"/>
  <c r="J32" i="62" a="1"/>
  <c r="J32" i="62" s="1"/>
  <c r="U8" i="71" s="1"/>
  <c r="J31" i="62" a="1"/>
  <c r="J31" i="62" s="1"/>
  <c r="U7" i="71" s="1"/>
  <c r="J30" i="62" a="1"/>
  <c r="J30" i="62" s="1"/>
  <c r="U6" i="71" s="1"/>
  <c r="J29" i="62" a="1"/>
  <c r="J29" i="62" s="1"/>
  <c r="U5" i="71" s="1"/>
  <c r="J26" i="62" a="1"/>
  <c r="J26" i="62" s="1"/>
  <c r="U2" i="71" s="1"/>
  <c r="J56" i="62" a="1"/>
  <c r="J56" i="62" s="1"/>
  <c r="U32" i="71" s="1"/>
  <c r="S32" i="71"/>
  <c r="J55" i="62" a="1"/>
  <c r="J55" i="62" s="1"/>
  <c r="U31" i="71" s="1"/>
  <c r="S31" i="71"/>
  <c r="J54" i="62" a="1"/>
  <c r="J54" i="62" s="1"/>
  <c r="U30" i="71" s="1"/>
  <c r="S30" i="71"/>
  <c r="J53" i="62" a="1"/>
  <c r="J53" i="62" s="1"/>
  <c r="U29" i="71" s="1"/>
  <c r="S29" i="71"/>
  <c r="J52" i="62" a="1"/>
  <c r="J52" i="62" s="1"/>
  <c r="U28" i="71" s="1"/>
  <c r="S28" i="71"/>
  <c r="J51" i="62" a="1"/>
  <c r="J51" i="62" s="1"/>
  <c r="U27" i="71" s="1"/>
  <c r="S27" i="71"/>
  <c r="J50" i="62" a="1"/>
  <c r="J50" i="62" s="1"/>
  <c r="U26" i="71" s="1"/>
  <c r="S26" i="71"/>
  <c r="J49" i="62" a="1"/>
  <c r="J49" i="62" s="1"/>
  <c r="U25" i="71" s="1"/>
  <c r="S25" i="71"/>
  <c r="J48" i="62" a="1"/>
  <c r="J48" i="62" s="1"/>
  <c r="U24" i="71" s="1"/>
  <c r="S24" i="71"/>
  <c r="J47" i="62" a="1"/>
  <c r="J47" i="62" s="1"/>
  <c r="U23" i="71" s="1"/>
  <c r="S23" i="71"/>
  <c r="J46" i="62" a="1"/>
  <c r="J46" i="62" s="1"/>
  <c r="U22" i="71" s="1"/>
  <c r="S22" i="71"/>
  <c r="J45" i="62" a="1"/>
  <c r="J45" i="62" s="1"/>
  <c r="U21" i="71" s="1"/>
  <c r="S21" i="71"/>
  <c r="J44" i="62" a="1"/>
  <c r="J44" i="62" s="1"/>
  <c r="U20" i="71" s="1"/>
  <c r="S20" i="71"/>
  <c r="J43" i="62" a="1"/>
  <c r="J43" i="62" s="1"/>
  <c r="U19" i="71" s="1"/>
  <c r="S19" i="71"/>
  <c r="J42" i="62" a="1"/>
  <c r="J42" i="62" s="1"/>
  <c r="U18" i="71" s="1"/>
  <c r="S18" i="71"/>
  <c r="J41" i="62" a="1"/>
  <c r="J41" i="62" s="1"/>
  <c r="U17" i="71" s="1"/>
  <c r="S17" i="71"/>
  <c r="J40" i="62" a="1"/>
  <c r="J40" i="62" s="1"/>
  <c r="U16" i="71" s="1"/>
  <c r="S16" i="71"/>
  <c r="J39" i="62" a="1"/>
  <c r="J39" i="62" s="1"/>
  <c r="U15" i="71" s="1"/>
  <c r="S15" i="71"/>
  <c r="J38" i="62" a="1"/>
  <c r="J38" i="62" s="1"/>
  <c r="U14" i="71" s="1"/>
  <c r="S14" i="71"/>
  <c r="J37" i="62" a="1"/>
  <c r="J37" i="62" s="1"/>
  <c r="U13" i="71" s="1"/>
  <c r="S13" i="71"/>
  <c r="J36" i="62" a="1"/>
  <c r="J36" i="62" s="1"/>
  <c r="U12" i="71" s="1"/>
  <c r="S12" i="71"/>
  <c r="S11" i="71"/>
  <c r="S10" i="71"/>
  <c r="S9" i="71"/>
  <c r="S8" i="71"/>
  <c r="S7" i="71"/>
  <c r="S6" i="71"/>
  <c r="S5" i="71"/>
  <c r="S3" i="71"/>
  <c r="S2" i="71"/>
  <c r="S34" i="7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schema" type="4" refreshedVersion="0" background="1">
    <webPr xml="1" sourceData="1" url="\\prodmeteorfs.gf.theglobalfund.org\UserDesktops\DKapodistria\Desktop\schema.xml" htmlTables="1" htmlFormat="all"/>
  </connection>
  <connection id="2" xr16:uid="{00000000-0015-0000-FFFF-FFFF01000000}" name="schemaNew" type="4" refreshedVersion="0" background="1">
    <webPr xml="1" sourceData="1" url="E:\schemaNew.xml" htmlTables="1" htmlFormat="all"/>
  </connection>
  <connection id="3" xr16:uid="{00000000-0015-0000-FFFF-FFFF02000000}" name="schemaNew1" type="4" refreshedVersion="0" background="1">
    <webPr xml="1" sourceData="1" url="E:\schemaNew.xml" htmlTables="1" htmlFormat="all"/>
  </connection>
  <connection id="4" xr16:uid="{00000000-0015-0000-FFFF-FFFF03000000}" name="schemaNew2" type="4" refreshedVersion="0" background="1">
    <webPr xml="1" sourceData="1" url="E:\schemaNew.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<sst xmlns="http://schemas.openxmlformats.org/spreadsheetml/2006/main" count="1268" uniqueCount="757">
  <si>
    <t>CCM Afghanistan</t>
  </si>
  <si>
    <t>CCM Albania</t>
  </si>
  <si>
    <t>CCM Angola</t>
  </si>
  <si>
    <t>CCM Armenia</t>
  </si>
  <si>
    <t>CCM Azerbaijan</t>
  </si>
  <si>
    <t>CCM Bangladesh</t>
  </si>
  <si>
    <t>CCM Belarus</t>
  </si>
  <si>
    <t>CCM Belize</t>
  </si>
  <si>
    <t>CCM Benin</t>
  </si>
  <si>
    <t>CCM Bhutan</t>
  </si>
  <si>
    <t>CCM Bolivia</t>
  </si>
  <si>
    <t>CCM Bosnia and Herzegovina</t>
  </si>
  <si>
    <t>CCM Botswana</t>
  </si>
  <si>
    <t>CCM Bulgaria</t>
  </si>
  <si>
    <t>CCM Burkina Faso</t>
  </si>
  <si>
    <t>CCM Burundi</t>
  </si>
  <si>
    <t>CCM Cambodia</t>
  </si>
  <si>
    <t>CCM Cameroon</t>
  </si>
  <si>
    <t>CCM Central African Republic</t>
  </si>
  <si>
    <t>CCM Chad</t>
  </si>
  <si>
    <t>CCM Colombia</t>
  </si>
  <si>
    <t>CCM Comoros</t>
  </si>
  <si>
    <t>CCM Congo (Democratic Republic)</t>
  </si>
  <si>
    <t>CCM Congo (Republic of)</t>
  </si>
  <si>
    <t>CCM Costa Rica</t>
  </si>
  <si>
    <t>CCM Cuba</t>
  </si>
  <si>
    <t>CCM Djibouti</t>
  </si>
  <si>
    <t>CCM Dominican Republic</t>
  </si>
  <si>
    <t>CCM Ecuador</t>
  </si>
  <si>
    <t>CCM El Salvador</t>
  </si>
  <si>
    <t>CCM Eritrea</t>
  </si>
  <si>
    <t>CCM Ethiopia</t>
  </si>
  <si>
    <t>CCM Fiji</t>
  </si>
  <si>
    <t>CCM Gabon</t>
  </si>
  <si>
    <t>CCM Gambia</t>
  </si>
  <si>
    <t>CCM Georgia</t>
  </si>
  <si>
    <t>CCM Ghana</t>
  </si>
  <si>
    <t>CCM Guatemala</t>
  </si>
  <si>
    <t>CCM Guinea</t>
  </si>
  <si>
    <t>CCM Guinea-Bissau</t>
  </si>
  <si>
    <t>CCM Guyana</t>
  </si>
  <si>
    <t>CCM Haiti</t>
  </si>
  <si>
    <t>CCM Honduras</t>
  </si>
  <si>
    <t>CCM India</t>
  </si>
  <si>
    <t>CCM Indonesia</t>
  </si>
  <si>
    <t>CCM Iran (Islamic Republic of)</t>
  </si>
  <si>
    <t>CCM Jamaica</t>
  </si>
  <si>
    <t>CCM Kazakhstan</t>
  </si>
  <si>
    <t>CCM Kenya</t>
  </si>
  <si>
    <t>CCM Kosovo</t>
  </si>
  <si>
    <t>CCM Kyrgyzstan</t>
  </si>
  <si>
    <t>CCM Lao PDR</t>
  </si>
  <si>
    <t>CCM Lesotho</t>
  </si>
  <si>
    <t>CCM Liberia</t>
  </si>
  <si>
    <t>CCM Macedonia</t>
  </si>
  <si>
    <t>CCM Madagascar</t>
  </si>
  <si>
    <t>CCM Malawi</t>
  </si>
  <si>
    <t>CCM Malaysia</t>
  </si>
  <si>
    <t>CCM Mali</t>
  </si>
  <si>
    <t>CCM Mauritania</t>
  </si>
  <si>
    <t>CCM Mauritius</t>
  </si>
  <si>
    <t>CCM Moldova</t>
  </si>
  <si>
    <t>CCM Mongolia</t>
  </si>
  <si>
    <t>CCM Montenegro</t>
  </si>
  <si>
    <t>CCM Morocco</t>
  </si>
  <si>
    <t>CCM Mozambique</t>
  </si>
  <si>
    <t>CCM Myanmar</t>
  </si>
  <si>
    <t>CCM Namibia</t>
  </si>
  <si>
    <t>CCM Nepal</t>
  </si>
  <si>
    <t>CCM Nicaragua</t>
  </si>
  <si>
    <t>CCM Niger</t>
  </si>
  <si>
    <t>CCM Nigeria</t>
  </si>
  <si>
    <t>CCM Pakistan</t>
  </si>
  <si>
    <t>CCM Panama</t>
  </si>
  <si>
    <t>CCM Papua New Guinea</t>
  </si>
  <si>
    <t>CCM Paraguay</t>
  </si>
  <si>
    <t>CCM Peru</t>
  </si>
  <si>
    <t>CCM Philippines</t>
  </si>
  <si>
    <t>CCM Romania</t>
  </si>
  <si>
    <t>CCM Rwanda</t>
  </si>
  <si>
    <t>CCM São Tomé and Príncipe</t>
  </si>
  <si>
    <t>CCM Senegal</t>
  </si>
  <si>
    <t>CCM Serbia</t>
  </si>
  <si>
    <t>CCM Sierra Leone</t>
  </si>
  <si>
    <t>CCM Solomon Islands</t>
  </si>
  <si>
    <t>CCM South Africa</t>
  </si>
  <si>
    <t>CCM South Sudan</t>
  </si>
  <si>
    <t>CCM Sri Lanka</t>
  </si>
  <si>
    <t>CCM Sudan</t>
  </si>
  <si>
    <t>CCM Suriname</t>
  </si>
  <si>
    <t>CCM Tajikistan</t>
  </si>
  <si>
    <t>CCM Tanzania</t>
  </si>
  <si>
    <t>CCM Thailand</t>
  </si>
  <si>
    <t>CCM Timor Leste</t>
  </si>
  <si>
    <t>CCM Togo</t>
  </si>
  <si>
    <t>CCM Tunisia</t>
  </si>
  <si>
    <t>CCM Turkmenistan</t>
  </si>
  <si>
    <t>CCM Uganda</t>
  </si>
  <si>
    <t>CCM Ukraine</t>
  </si>
  <si>
    <t>CCM Uzbekistan</t>
  </si>
  <si>
    <t>CCM Viet Nam</t>
  </si>
  <si>
    <t>CCM Zambia</t>
  </si>
  <si>
    <t>CCM Zanzibar</t>
  </si>
  <si>
    <t>CCM Zimbabwe</t>
  </si>
  <si>
    <t>Non-CCM Somalia</t>
  </si>
  <si>
    <t>RCM Abidjan-Lagos Corridor Organisation</t>
  </si>
  <si>
    <t>RCM EMMIE (Mesoamerica)</t>
  </si>
  <si>
    <t>RCM Organisation of Eastern Caribbean States</t>
  </si>
  <si>
    <t>RCM Pan Caribbean Partnership against HIV/AIDS</t>
  </si>
  <si>
    <t>RCM Western Pacific</t>
  </si>
  <si>
    <t>Oversight</t>
  </si>
  <si>
    <t>Yes</t>
  </si>
  <si>
    <t>No</t>
  </si>
  <si>
    <t>Engagement</t>
  </si>
  <si>
    <t>Positioning</t>
  </si>
  <si>
    <t>Year 1</t>
  </si>
  <si>
    <t>Year 2</t>
  </si>
  <si>
    <t>Year 3</t>
  </si>
  <si>
    <t>Operations</t>
  </si>
  <si>
    <t>CCM Algeria</t>
  </si>
  <si>
    <t>CCM Cote d'Ivoire</t>
  </si>
  <si>
    <t>RCM African Regional Coordinating Mechanism</t>
  </si>
  <si>
    <t>RCM Asia (Regional Steering Committee)</t>
  </si>
  <si>
    <t>RO Comite Asesor Regional para subvenciones del Fondo Mundial en America Latina y el Caribe – CAR LAC</t>
  </si>
  <si>
    <t>GENERAL INFORMATION</t>
  </si>
  <si>
    <t>CCM Evolution Oversight</t>
  </si>
  <si>
    <t>CCM Evolution Engagement</t>
  </si>
  <si>
    <t>CCM Evolution Operations</t>
  </si>
  <si>
    <t>IT - Computers, computer equipment, software &amp; applications</t>
  </si>
  <si>
    <t>Local Consultant (on-site support)</t>
  </si>
  <si>
    <t>Local consultant to map national health governance bodies and platforms</t>
  </si>
  <si>
    <t>Local consultant to develop positioning plan</t>
  </si>
  <si>
    <t>Media promotional material</t>
  </si>
  <si>
    <t>CCM Cabo Verde</t>
  </si>
  <si>
    <t>CCM Eswatini</t>
  </si>
  <si>
    <t>Non-CCM Russian</t>
  </si>
  <si>
    <t>Non-CCM Egypt</t>
  </si>
  <si>
    <t>RCM Regional Response to TB in the mining sector in Southern Africa</t>
  </si>
  <si>
    <t>RCM MOSAWA</t>
  </si>
  <si>
    <t>Non-CCM Venezuela</t>
  </si>
  <si>
    <t>RO MC Middle East MER</t>
  </si>
  <si>
    <t>Non-CCM Korea</t>
  </si>
  <si>
    <t>Local Consultant to train civil society (pre- and post- General Assemblies)</t>
  </si>
  <si>
    <t>Comments</t>
  </si>
  <si>
    <t>Template</t>
  </si>
  <si>
    <t>Last update</t>
  </si>
  <si>
    <t>Organization:</t>
  </si>
  <si>
    <t>By (Name)</t>
  </si>
  <si>
    <t>Area</t>
  </si>
  <si>
    <t>Threshold Baseline</t>
  </si>
  <si>
    <t>Performance Objective</t>
  </si>
  <si>
    <t>Agreement Year under Performance Review</t>
  </si>
  <si>
    <t>PERFORMANCE OF COORDINATING MECHANISMS</t>
  </si>
  <si>
    <t>Annual Check</t>
  </si>
  <si>
    <t>Does the Coordinating Mechanism discuss co-financing on its meetings and with key stakeholders?</t>
  </si>
  <si>
    <t>Does your Coordinating Mechanism have an Oversight strategy? (ER 3A)</t>
  </si>
  <si>
    <t>Scores</t>
  </si>
  <si>
    <t>Coordinating Mechanism members (particularly CS members) carry out activities to solicit inputs from and provide feedback within their constituencies to contribute to sound decisions.</t>
  </si>
  <si>
    <t>Achievements</t>
  </si>
  <si>
    <t>Means of verification</t>
  </si>
  <si>
    <t>Performance Framework</t>
  </si>
  <si>
    <t>Performance Evaluation Cycle - Starting Year</t>
  </si>
  <si>
    <t>Performance Evaluation Cycle Year</t>
  </si>
  <si>
    <t>Global Fund Comments</t>
  </si>
  <si>
    <t>None</t>
  </si>
  <si>
    <t>Means of Verification</t>
  </si>
  <si>
    <t>Are key affected and most at risk groups represented in the Coordinating Mechanism? (ER 4G) (ER 4H)</t>
  </si>
  <si>
    <t>Are the elections of Coordinating Mechanism members representing civil society constituencies well-documented? (ER 5J)</t>
  </si>
  <si>
    <t>Does the Coordinating Mechanism elect Chair and Vice Chair(s) from different sectors and also follow good governance principles of periodic change and rotation of leadership? (ER 5M)</t>
  </si>
  <si>
    <t>Does the Coordinating Mechanism know the health governance landscape they operate in?</t>
  </si>
  <si>
    <t>Does the Coordinating Mechanism have a Positioning plan?</t>
  </si>
  <si>
    <t>Is civil society engagement being institutionalised?</t>
  </si>
  <si>
    <t>GF validated score</t>
  </si>
  <si>
    <t>PERFORMANCE FRAMEWORK</t>
  </si>
  <si>
    <t>PROGRESS UPDATE</t>
  </si>
  <si>
    <t>Effective Oversight Committee (OC) is in place with membership and plans aligned with the Global Fund (GF) grant priorities and relevant national processes (e.g. national program reviews and national planning).</t>
  </si>
  <si>
    <t>The Oversight Committee (OC) uses strategic information and analysis effectively, supporting evidenced-based decision-making throughout the GF grant-life cycle.</t>
  </si>
  <si>
    <t xml:space="preserve">Coordinating Mechanism constituencies selection/election processes abide by principles of good governance (are transparent, ethical and well-documented) and ensure quality engagement. </t>
  </si>
  <si>
    <t>Coordinating Mechanism constituencies actively engage and input into GF processes.</t>
  </si>
  <si>
    <t>Coordinating Mechanism representatives (particularly Civil Society members) engage in country processes on national response (e.g., National Strategic Planning, Program Reviews and Prioritization, Development Partner’s Country Operational Planning).</t>
  </si>
  <si>
    <t>The Coordinating Mechanism works effectively with PRs to identify and mitigate risks, bottlenecks and challenges to grant delivery (adopts risk management approach).</t>
  </si>
  <si>
    <t>The Coordinating Mechanism supports the realization of co-financing commitments.</t>
  </si>
  <si>
    <t>The Coordinating Mechanism proactively defines a “strategic positioning” vision to ensure alignment with and/or integration into national structures/coordinating bodies and formal links with donor partner platforms.</t>
  </si>
  <si>
    <t>The Coordinating Mechanism ensures buy-in and ownership of the vision by all relevant stakeholders (particularly national government).</t>
  </si>
  <si>
    <t>The Coordinating Mechanism aligns its functions and structures with the national response for enhanced harmonization of systems, processes and decision-making for greater impact and efficiencies.</t>
  </si>
  <si>
    <t>Civil society members and communities are proactively represented and engaged in coordination, governance and decision-making bodies and processes beyond the Coordinating Mechanism.</t>
  </si>
  <si>
    <t xml:space="preserve">The Coordinating Mechanism ensures ethical decision-making processes are adopted and mainstreamed throughout its operations. </t>
  </si>
  <si>
    <t xml:space="preserve">The Coordinating Mechanism has appropriate and relevant structures in place, which operate optimally and efficiently. </t>
  </si>
  <si>
    <t>Coordinating Mechanism’s operations are effectively managed.</t>
  </si>
  <si>
    <t>Does the Coordinating Mechanism regularly share and follow up on oversight results with the Global Fund and in-country stakeholders? (ER 3F)</t>
  </si>
  <si>
    <t>Eligibility Requirement</t>
  </si>
  <si>
    <t>Requirement / Minimum Standard</t>
  </si>
  <si>
    <t>Updated Rating</t>
  </si>
  <si>
    <t>Eligibility Assessment</t>
  </si>
  <si>
    <t>Fully Compliant</t>
  </si>
  <si>
    <t>Compliant with issues</t>
  </si>
  <si>
    <t>Non-compliant</t>
  </si>
  <si>
    <t>N/A</t>
  </si>
  <si>
    <t>ELIGIBILITY UPDATE</t>
  </si>
  <si>
    <t>Progress update</t>
  </si>
  <si>
    <t>Progress Update</t>
  </si>
  <si>
    <r>
      <t>Date</t>
    </r>
    <r>
      <rPr>
        <sz val="10"/>
        <color theme="1"/>
        <rFont val="Arial"/>
        <family val="2"/>
      </rPr>
      <t xml:space="preserve"> (day-month-year)</t>
    </r>
  </si>
  <si>
    <r>
      <t xml:space="preserve">Agreement start date </t>
    </r>
    <r>
      <rPr>
        <sz val="10"/>
        <color theme="1"/>
        <rFont val="Arial"/>
        <family val="2"/>
      </rPr>
      <t>(day-month-year)</t>
    </r>
  </si>
  <si>
    <r>
      <t xml:space="preserve">Agreement end date </t>
    </r>
    <r>
      <rPr>
        <sz val="10"/>
        <color theme="1"/>
        <rFont val="Arial"/>
        <family val="2"/>
      </rPr>
      <t>(day-month-year)</t>
    </r>
  </si>
  <si>
    <t>Global Fund</t>
  </si>
  <si>
    <t>Updated By</t>
  </si>
  <si>
    <t>CCM Hub</t>
  </si>
  <si>
    <t>Governance manuals
Appointment letters</t>
  </si>
  <si>
    <t>Governance manuals
Appointment letters
Election meeting minutes</t>
  </si>
  <si>
    <t>Governance manuals
Election meeting minutes</t>
  </si>
  <si>
    <t xml:space="preserve">No: less than 40% </t>
  </si>
  <si>
    <t>No: no mapping of health governance landscape.</t>
  </si>
  <si>
    <t>Mapping of health governance landscape</t>
  </si>
  <si>
    <t>Mapping of health governance landscape
Positioning Plan
Memorandum of Understanding
Meeting minutes showing an integrated review of Global Fund and national / regional programs.</t>
  </si>
  <si>
    <t>Positioning plan
Minutes of joint meetings on health programs review
Meeting minutes of national / regional workshops on integrating health programs coordination</t>
  </si>
  <si>
    <t>Coordinating Mechanism Name</t>
  </si>
  <si>
    <t>Validated progress</t>
  </si>
  <si>
    <t>How strong are linkages between the Coordinating Mechanism and other health governance platforms?</t>
  </si>
  <si>
    <t>No formal exchanges with other health governance platforms.</t>
  </si>
  <si>
    <t>Memorandum of understanding with outlined collaboration protocol
Annual work plan
Assemblies meeting minutes documenting objectives follow-up</t>
  </si>
  <si>
    <t>Memorandum of understanding with outlined collaboration protocol
Oversight tools (for instance, dashboards)
Technical committees meeting minutes</t>
  </si>
  <si>
    <t>C</t>
  </si>
  <si>
    <t>CoI Policy
CoI forms
Meeting minutes notifying the approval of the Code of Conduct</t>
  </si>
  <si>
    <t>CoI Policy
CoI forms
Meeting minutes notifying the approval of the Code of Conduct
Ethics Focal Point contact / Committee members list</t>
  </si>
  <si>
    <t>Ethics Focal Point contact / Committee members list
Meeting minutes on Ethics updates</t>
  </si>
  <si>
    <t>Ethics Focal Point contact / Committee members list
Meeting minutes on Ethics updates or general communications/ newsletter providing updates on the activities</t>
  </si>
  <si>
    <t>Secretariat performance management form
Report of CM Secretariat activities
CM members endorsement of budget and use of funds</t>
  </si>
  <si>
    <r>
      <t>N</t>
    </r>
    <r>
      <rPr>
        <b/>
        <sz val="11"/>
        <color theme="1"/>
        <rFont val="Calibri"/>
        <family val="2"/>
      </rPr>
      <t>°</t>
    </r>
  </si>
  <si>
    <t>Baseline</t>
  </si>
  <si>
    <t>Validation</t>
  </si>
  <si>
    <t>Areas</t>
  </si>
  <si>
    <t xml:space="preserve">CCM Evolution Positioning </t>
  </si>
  <si>
    <t>Governance manuals
Meeting minutes with approval of governance documents</t>
  </si>
  <si>
    <t>Governance manuals
Meeting minutes with approval of governance documents
Results report</t>
  </si>
  <si>
    <t>Oversight plan
CM/OC meeting minutes showing irregular meetings and unclear about the extent to which Oversight plan is implemented</t>
  </si>
  <si>
    <t>Updated Oversight Plan and relevant annexes (i.e. information exchange/collection tools)
CM/OC meeting minutes showing regular meetings, including joint meetings and/or review of national program targets and &gt;85% activities in Oversight Plan implemented</t>
  </si>
  <si>
    <t>Site visit reports
Consultation minutes
OC meeting minutes</t>
  </si>
  <si>
    <t>Assembly minutes: meetings held during the last 12 months show discussions on OC recommendations and corresponding decisions</t>
  </si>
  <si>
    <t xml:space="preserve">Assembly minutes: meetings held during the last 12 months show discussions on OC recommendations, corresponding decisions, and an agreed action plan </t>
  </si>
  <si>
    <t xml:space="preserve">GAs discuss OC recommendations and make decisions, but they do not always agree on a corresponding action plan. </t>
  </si>
  <si>
    <t>GAs discuss OC recommendations, make decisions, and agree on an action plan.</t>
  </si>
  <si>
    <t>GAs rarely discuss OC recommendations or act upon them.</t>
  </si>
  <si>
    <t>Assembly minutes showing at least two status updates per year from MoF and other relevant ministries. 
Meeting minutes with MoF/relevant ministries representatives
Co-financing commitment tracking tool/template</t>
  </si>
  <si>
    <t>Assembly minutes showing at least one status update per year from MoF and other relevant ministries. 
Meeting minutes with MoF/relevant ministries representatives
Co-financing commitment tracking tool/template</t>
  </si>
  <si>
    <t>Site visit reports
Consultation minutes
Community-led monitoring reports
Data collection tools
OC meeting minutes</t>
  </si>
  <si>
    <t>Site visit reports
Consultation minutes
Data collection tools
OC meeting minutes</t>
  </si>
  <si>
    <t>Operations (functions and structures) are only focused on Global Fund programs. No linkages with other health governance platforms.</t>
  </si>
  <si>
    <t>Year 2:</t>
  </si>
  <si>
    <t xml:space="preserve">Baseline: </t>
  </si>
  <si>
    <t>Year 1:</t>
  </si>
  <si>
    <t>Threshold</t>
  </si>
  <si>
    <t>CoI Policy
CoI forms
Meeting minutes notifying the approval of the Code of Conduct
Ethics Focal Point contact / Committee members list
Attestation of completed trainings 
Ethics Committee meeting minutes</t>
  </si>
  <si>
    <t>Yes: CoI and adoption of Code of Conduct forms signed, Code of Conduct applied, trainings completed (mandatory Ethics module + module on Ethics committee), Ethics Focal Point / Committee installed.</t>
  </si>
  <si>
    <t>Yes: CoI forms signed, Code of Conduct applied, trainings planned (mandatory Ethics module + module on Ethics committee), Ethics Focal Point / Committee installed.</t>
  </si>
  <si>
    <t>Secretariat performance management form
Report of CM Secretariat activities / CM workplan</t>
  </si>
  <si>
    <t>Country Team Assessment (if available)</t>
  </si>
  <si>
    <t>Consultant - Service Provider</t>
  </si>
  <si>
    <t>To be checked</t>
  </si>
  <si>
    <t>Oversight 1</t>
  </si>
  <si>
    <t>Description</t>
  </si>
  <si>
    <t>There is little-to-no consistency between the oversight function (plan, committee and cycle: data collection, analysis and follow up on recommendations) and GF grant priorities. The existing oversight structures and processes are not operational.</t>
  </si>
  <si>
    <t xml:space="preserve">The oversight function does not fully align with GF grant priorities. The oversight committee (OC) has not attracted all relevant set of skills aligned with grant priorities. Oversight activities are conducted inconsistently, and OC recommendations are not always followed through. Interactions with PRs are not systematic.  </t>
  </si>
  <si>
    <t>Reviewer / Coordinating Mechanism</t>
  </si>
  <si>
    <t>Oversight 2</t>
  </si>
  <si>
    <t>CM discussions and decision-making are not supported by strategic information.</t>
  </si>
  <si>
    <t>CM discussions and decision-making are not always supported by strategic information and these do not always seek alignment of Global Fund investments with other programs. There is still a window of opportunity to improve grant-related data quality and analysis.</t>
  </si>
  <si>
    <t>The CM ensures the availability, quality and analysis of information for its discussions with PRs, CTs and other stakeholders. Regular CM data-based discussions and decisions inform key GF processes (e.g., funding request preparation, program revisions, oversight of implementation, etc.) without systematic linkages with the overall health response.</t>
  </si>
  <si>
    <t xml:space="preserve">The CM ensures the availability, quality and analysis of information for its discussions with PRs, CTs and other stakeholders. A data/information-driven culture has been embedded. Global Fund investments are proactively assessed against and adjusted to the overall national response based on triangulated strategic information coming from different sources. </t>
  </si>
  <si>
    <t>Oversight 3</t>
  </si>
  <si>
    <t xml:space="preserve">CMs (particularly in High Impact and Core contexts) have been sensitized to Risk Management but have not integrated any aspects of risk identification, prioritization, mitigation, monitoring and assurance in their oversight strategy. </t>
  </si>
  <si>
    <t>CMs have integrated certain aspects of risk identification, prioritization, mitigation in their oversight function.</t>
  </si>
  <si>
    <t>CMs are leading country portfolio risk identification and are actively contributing in mitigation of national disease program strategic risks. CMs also demonstrate an ability to provide reliable assurance to the Global Fund.</t>
  </si>
  <si>
    <t>Oversight 4</t>
  </si>
  <si>
    <t>The CM is not sufficiently aware of co-financing commitments, nor has it sought further information on their realization.</t>
  </si>
  <si>
    <t>Co-financing commitments are known by the CM but are sporadically discussed during oversight committee or CM meetings. Information related to the materialization of co-financing commitments is not actively sought by the CM.</t>
  </si>
  <si>
    <t>Co-financing commitments are known and their status is discussed at least twice/year during oversight committee and CM meetings. Information related to the materialization of co-financing commitments is actively sought by the CM and tracked through available tools (where these exist).</t>
  </si>
  <si>
    <t xml:space="preserve">CMs proactively and successfully collect information in order to track, advocate for and support the realization of co-financing commitments. The status of co-financing commitments is discussed at least twice/year during oversight committee and CM meetings. The CM supports follow up and reporting of materialized commitments during grant implementation (as indicated in the Co-financing Operational Policy Note) using relevant data, tools and processes. </t>
  </si>
  <si>
    <t>Engagement 1</t>
  </si>
  <si>
    <t>Members participate in CM meetings and activities. There are minor efforts from CM leadership to ensure a balanced participation of each constituency represented in CM debates and decision-making processes. All sectors are represented in all key committees (oversight and executive). Quorum is achieved at every meeting.</t>
  </si>
  <si>
    <t>Members engage actively in CM meetings and activities and voice their constituencies' positions. There are deliberate efforts from the leadership to ensure a balanced participation of each constituency represented in CM debates and decision-making processes. All sectors are actively engaged at in all key committees (oversight and executive).  CM constituencies make some efforts to prepare for key GF and national processes in which they participate. Quorum is achieved at every meeting.</t>
  </si>
  <si>
    <t>Members attend in CM meetings and quorum is achieved regularly. Not all sectors are represented in key committees (oversight and executive) and meeting minutes do not clearly demonstrate a balanced articulation of various constituencies' views.</t>
  </si>
  <si>
    <t>Engagement 2</t>
  </si>
  <si>
    <t>CM members are selected/elected based on self-governed processes that are documented but not geared towards a CCM composition aligned to the grants and national priorities. Some level of consultations and mobilization of relevant CS groups (PLWDs, Key affected and vulnerable populations, etc.) leading to the elections has taken place.</t>
  </si>
  <si>
    <t xml:space="preserve">CM members are selected/elected through documented processes that are partially aligned to GF grants and national priorities (i.e. involvement of key relevant ministries). CS sector members are elected through an open, transparent and documented process following comprehensive consultations and mobilization of relevant CS groups (PLWDs, Key affected and vulnerable populations, etc.) leading up to the elections. Member selection for other sectors is based on each constituency's self-governed documented processes.   </t>
  </si>
  <si>
    <t xml:space="preserve">CM members are selected/elected through ethical, well-documented and widely-published processes that are guided by and aligned to the nature of GF investments and national priorities. Civil Society (CS) constituencies conduct consultations and mobilization of relevant CS groups (PLWDs, Key affected and vulnerable populations, etc.) leading up to the elections. </t>
  </si>
  <si>
    <t>Engagement 3</t>
  </si>
  <si>
    <t>Representatives of CM constituencies only participate in CM meetings.</t>
  </si>
  <si>
    <t>Representatives of CM constituencies participate in country processes supporting the national health response, but this participation is not documented nor systematic.</t>
  </si>
  <si>
    <t>There are proactive and ongoing bi-directional consultations between CM representatives of all sectors and their constituents. These consultations are done using structured and agreed mechanisms.</t>
  </si>
  <si>
    <t>Engagement 4</t>
  </si>
  <si>
    <t>Representatives of CM constituencies prepare and actively participate in country processes supporting the national health response and this participation is documented and systematic.</t>
  </si>
  <si>
    <t>Bi-directional consultations within constituencies are infrequent or non-existent.</t>
  </si>
  <si>
    <t xml:space="preserve">CM representatives share outcomes of CM processes with their constituencies. Input prior to meetings is not necessarily sought in a consistent manner through consultations. </t>
  </si>
  <si>
    <t>There are proactive and ongoing bi-directional consultations between CM representatives of all sectors and their constituents. These consultations are done using structured and agreed mechanisms.  Constituency meetings (particularly for CS) take place prior to key CM processes to analyze information, develop positions and identify priorities.</t>
  </si>
  <si>
    <t>Positioning 1</t>
  </si>
  <si>
    <t>The CM has not undertaken the process of defining its positioning in relation to the national landscape and lacks visibility in-country.</t>
  </si>
  <si>
    <t>The CM has conducted a stakeholders’ mapping and strategic landscape scan to inform a responsive strategic positioning vision.</t>
  </si>
  <si>
    <t>Stakeholders, processes, and systems' coordination opportunities have been identified and the CM proactively defines a pathway towards an agreed strategic positioning option(s).</t>
  </si>
  <si>
    <t>Positioning 2</t>
  </si>
  <si>
    <t xml:space="preserve">The strategic positioning vision has not been defined or has not been communicated to any relevant parties and there is no consensus on the way forward. </t>
  </si>
  <si>
    <t xml:space="preserve">The strategic positioning vision has been communicated to certain relevant parties. Consensus building is still needed. </t>
  </si>
  <si>
    <t>All relevant stakeholders proactively engage around an agreed [re]positioning vision and there is formal consensus among all parties. Roles and responsibilities of each party have been partially defined and agreed upon.</t>
  </si>
  <si>
    <t xml:space="preserve">All relevant stakeholders proactively engage around an agreed [re]positioning vision and there is formal consensus among all parties. Roles and responsibilities of each party are clearly defined and agreed on. </t>
  </si>
  <si>
    <t>Positioning 3</t>
  </si>
  <si>
    <t>CM operations (functions and structures) are not fully organized and are only GF-focused.</t>
  </si>
  <si>
    <t>CM operations (functions and structures) are organized. In addition to focusing on GF-related activities, they are partially aligned with broader national processes.</t>
  </si>
  <si>
    <t xml:space="preserve">CM operations (functions and structures) are organized and are efficiently implemented. In addition, they have been recently aligned with broader national processes. </t>
  </si>
  <si>
    <t>CM operations (functions and structures) are purposefully structured and implemented to ensure alignment and efficiencies within the national health response, reducing duplication and working towards full integration.</t>
  </si>
  <si>
    <t>Positioning 4</t>
  </si>
  <si>
    <t>Engagement and participation of civil society (particularly communities) in GF processes is limited.</t>
  </si>
  <si>
    <t>Civil society (particularly communities) representatives engage actively in GF processes.</t>
  </si>
  <si>
    <t>Civil society (particularly communities) actively engages in several national coordination and decision-making bodies. Additional efforts are needed to amplify their voices in these spaces.</t>
  </si>
  <si>
    <t>The national civil society (particularly communities) is engaged in all relevant coordination and decision-making bodies and their voice is amplified in health sector governance and leadership spaces. The CCM has made efforts to ensure that civil society representation persists even after the end of Global Fund investments.</t>
  </si>
  <si>
    <t>Operations 1</t>
  </si>
  <si>
    <t>The CM fosters a respectful and inclusive environment where active and effective contributions by all members are sought and considered. Decisions are made in a transparent and equitable manner according to the CM’s clearly documented processes. Decisions are based on information (not always triangulated) and aim for maximum efficiencies of the GF investments. The CM Code of Conduct has been adopted, members have been sensitized about it and is frequently used as a guiding document.</t>
  </si>
  <si>
    <t xml:space="preserve">The CM fosters a respectful and inclusive environment where active and effective contributions by all members are sought and considered. All decisions are made in a transparent and equitable manner according to the CM’s clearly documented processes. Decisions are based on triangulated data (from multiple sources) and aim for maximum efficiencies of the GF investments as well as National Health Programmes.  The CM Code of Conduct has been adopted, CM members have received training on it and consistently apply its provisions to their governance processes. </t>
  </si>
  <si>
    <t xml:space="preserve">The CM Secretariat is not fully organized/in place. </t>
  </si>
  <si>
    <t xml:space="preserve">The CM Secretariat mostly provides administrative support to the CM and its committees and makes efforts to ensure that governance policies and procedures are followed. Communication with members is frequent. Members’ skills building and induction activities for members are partially structured and planned.  </t>
  </si>
  <si>
    <t>The CM Secretariat provides administrative and strategic support to the CM and its committees -particularly the oversight committee - and provides the necessary information and advice to members and CM leadership for effective decision-making. The CM secretariat leads and facilitates members’ skills building and induction activities on annual basis and after membership renewal.</t>
  </si>
  <si>
    <t>Operations 3</t>
  </si>
  <si>
    <t>The existing committees and their composition are not aligned with grant priorities and their mandate is not clearly defined by terms of reference. Committees rarely provide sound recommendations to the CM.</t>
  </si>
  <si>
    <t>The CM committees’ mandate is clearly defined, but not shared with all members. The committees' composition is designed to respond to and support grant priorities. Committees develop recommendations, though not always based on triangulated data and evidence. Implementation of recommendations is very sporadic or not fully documented.</t>
  </si>
  <si>
    <t>The CM committees’ mandate is clearly defined and widely shared. The composition is aligned with and supports GF grant priorities. Committees develop sound recommendations - based on thorough investigations and evidence - to facilitate decision-making. Implementation of recommendations is not always followed through.</t>
  </si>
  <si>
    <t>The CM committees' mandate and operations are purposefully structured to ensure alignment with GF grants and the national context, reducing duplication and working towards full integration. Committees develop sound recommendations - based on thorough investigations and evidence - to facilitate decision-making. Implementation of recommendations is followed through.</t>
  </si>
  <si>
    <t>Operations 4</t>
  </si>
  <si>
    <t xml:space="preserve">The leadership endeavors to foster interactions amongst CM stakeholders. Some members participate and actively contribute to discussions and decision-making processes. CM meetings are managed well, following standard protocols included in governance documents. Membership (including leadership) renewal is infrequent and is not always aligned with the procedures included in governance documents. A performance management system of the CM secretariat is not in place.   </t>
  </si>
  <si>
    <t>The leadership fosters regular and pertinent interactions amongst internal stakeholders. CM members participate and contribute to debates and decision-making processes. CM meetings are managed effectively, using standard protocols to manage time, ensure quorum, manage potential conflicts of interest, organize participation by members and lead to implementable and documented decisions. Membership (including leadership) renewal occurs in accordance with CM governance documents and procedures. A performance management system of the CM secretariat (in line with Global Fund expectations) is in place, but is not regularly implemented.</t>
  </si>
  <si>
    <t>General Drop-down</t>
  </si>
  <si>
    <t>Conditional activities drop-down</t>
  </si>
  <si>
    <t>Does the non-state sector (Private Sector / Civil Society / Academia) account for at least 40% of the Coordinating Mechanism seats? (ER 5K)</t>
  </si>
  <si>
    <r>
      <rPr>
        <b/>
        <sz val="9"/>
        <color theme="1"/>
        <rFont val="Arial"/>
        <family val="2"/>
      </rPr>
      <t xml:space="preserve">D: </t>
    </r>
    <r>
      <rPr>
        <sz val="9"/>
        <color theme="1"/>
        <rFont val="Arial"/>
        <family val="2"/>
      </rPr>
      <t>The oversight body conducts oversight activities to discuss challenges with each PR and identifies problems, potential reprogramming and corresponding reallocation of funds between program activities, if necessary.</t>
    </r>
  </si>
  <si>
    <t>Year 3:</t>
  </si>
  <si>
    <t>- A complete Oversight plan that includes activities, responsibilities, timeline and budget; 
- Funding agreement.</t>
  </si>
  <si>
    <t>Evidence of compliance</t>
  </si>
  <si>
    <t>- Access to core skills: financial management, disease-specific expertise, procurement and supply management, and program management;
its composition should include KAP/ PLWD;
- its terms of reference (TORs), names and CVs of members.</t>
  </si>
  <si>
    <r>
      <rPr>
        <b/>
        <sz val="10"/>
        <color theme="1"/>
        <rFont val="Arial"/>
        <family val="2"/>
      </rPr>
      <t>Requirement 3:</t>
    </r>
    <r>
      <rPr>
        <sz val="10"/>
        <color theme="1"/>
        <rFont val="Arial"/>
        <family val="2"/>
      </rPr>
      <t xml:space="preserve"> Recognizing the importance of oversight, the Global Fund requires all CMs to submit and follow an oversight plan for all financing approved by the Global Fund. The plan must detail oversight activities, and must describe how the CM will engage program stakeholders in oversight, including CM members and non-members, and in particular non-government constituencies and people living with and/or affected by the diseases.</t>
    </r>
  </si>
  <si>
    <r>
      <rPr>
        <b/>
        <sz val="9"/>
        <color theme="1"/>
        <rFont val="Arial"/>
        <family val="2"/>
      </rPr>
      <t>A:</t>
    </r>
    <r>
      <rPr>
        <sz val="9"/>
        <color theme="1"/>
        <rFont val="Arial"/>
        <family val="2"/>
      </rPr>
      <t xml:space="preserve"> The CM has an oversight plan which details specific activities, individual and/or constituency responsibilities, timeline and oversight budget as part of CM budget.</t>
    </r>
  </si>
  <si>
    <r>
      <rPr>
        <b/>
        <sz val="9"/>
        <color theme="1"/>
        <rFont val="Arial"/>
        <family val="2"/>
      </rPr>
      <t xml:space="preserve">B: </t>
    </r>
    <r>
      <rPr>
        <sz val="9"/>
        <color theme="1"/>
        <rFont val="Arial"/>
        <family val="2"/>
      </rPr>
      <t>The CM has established a permanent oversight body with adequate set of skills and expertise to ensure periodic oversight.</t>
    </r>
  </si>
  <si>
    <r>
      <rPr>
        <b/>
        <sz val="9"/>
        <color theme="1"/>
        <rFont val="Arial"/>
        <family val="2"/>
      </rPr>
      <t xml:space="preserve">C: </t>
    </r>
    <r>
      <rPr>
        <sz val="9"/>
        <color theme="1"/>
        <rFont val="Arial"/>
        <family val="2"/>
      </rPr>
      <t>The oversight committee (OC) or CM seeks feedback from non-members of the CM and from people living with and/or affected by the diseases</t>
    </r>
  </si>
  <si>
    <t>- Dated meeting minutes which document formal appointment or election of members of the CM oversight committee (OC).</t>
  </si>
  <si>
    <t>- Dated meeting minutes, reports or work plans that provide evidence of quarterly dialogue and the follow-up with each PR;
- OC meeting minutes/reports; 
- oversight tool &amp; action plan to correct gaps;
- CM website.</t>
  </si>
  <si>
    <t xml:space="preserve">- Oversight tool; 
action plan to correct gaps on the minimum management, financial and programmatic indicators; 
- OC meetings minutes correctuve actions. </t>
  </si>
  <si>
    <t>- Oversight reports shared quarterly with in-country stakeholders and with the Global Fund Secretariat in a timely manner (within 1 month of OC meeting); - email communications; 
- CM website</t>
  </si>
  <si>
    <t>- Membership list;
- For PLWH / TB / M, civil society members representing PLWH organization(s)/network(s); or leaders of relevant communities if there are no organized groups. Number of representatives dependS on the disease burden in country.</t>
  </si>
  <si>
    <t>- The CM membership (members and alternates) shows a balanced female representation.</t>
  </si>
  <si>
    <t>- The CM membership shows that national civil society sector representatives constitute at least 40%  of membership.</t>
  </si>
  <si>
    <r>
      <rPr>
        <b/>
        <sz val="9"/>
        <color theme="1"/>
        <rFont val="Arial"/>
        <family val="2"/>
      </rPr>
      <t xml:space="preserve">E: </t>
    </r>
    <r>
      <rPr>
        <sz val="9"/>
        <color theme="1"/>
        <rFont val="Arial"/>
        <family val="2"/>
      </rPr>
      <t>The CM takes decisions and corrective action whenever problems and challenges are identified</t>
    </r>
  </si>
  <si>
    <r>
      <rPr>
        <b/>
        <sz val="9"/>
        <color theme="1"/>
        <rFont val="Arial"/>
        <family val="2"/>
      </rPr>
      <t xml:space="preserve">F: </t>
    </r>
    <r>
      <rPr>
        <sz val="9"/>
        <color theme="1"/>
        <rFont val="Arial"/>
        <family val="2"/>
      </rPr>
      <t>The CM shares oversight results with the Global Fund Secretariat and in-country stakeholders quarterly through the process defined in its Oversight Plan.</t>
    </r>
  </si>
  <si>
    <r>
      <rPr>
        <b/>
        <sz val="9"/>
        <color theme="1"/>
        <rFont val="Arial"/>
        <family val="2"/>
      </rPr>
      <t xml:space="preserve">G: </t>
    </r>
    <r>
      <rPr>
        <sz val="9"/>
        <color theme="1"/>
        <rFont val="Arial"/>
        <family val="2"/>
      </rPr>
      <t xml:space="preserve">The CM ensures adequate representation of key affected populations taking into account the socio-epidemiology of the three diseases. </t>
    </r>
  </si>
  <si>
    <r>
      <rPr>
        <b/>
        <sz val="9"/>
        <color theme="1"/>
        <rFont val="Arial"/>
        <family val="2"/>
      </rPr>
      <t xml:space="preserve">H: </t>
    </r>
    <r>
      <rPr>
        <sz val="9"/>
        <color theme="1"/>
        <rFont val="Arial"/>
        <family val="2"/>
      </rPr>
      <t>The CM ensures adequate representation of PLWD, taking into account the socio-epidemiology of the three diseases.</t>
    </r>
  </si>
  <si>
    <r>
      <rPr>
        <b/>
        <sz val="9"/>
        <color theme="1"/>
        <rFont val="Arial"/>
        <family val="2"/>
      </rPr>
      <t xml:space="preserve">I: </t>
    </r>
    <r>
      <rPr>
        <sz val="9"/>
        <color theme="1"/>
        <rFont val="Arial"/>
        <family val="2"/>
      </rPr>
      <t>The CM has balanced representation of men and women (the Global Fund Gender Equality Strategy clarifies how women and girls are key affected groups in the context of the 3 diseases).</t>
    </r>
  </si>
  <si>
    <r>
      <rPr>
        <b/>
        <sz val="10"/>
        <color theme="1"/>
        <rFont val="Arial"/>
        <family val="2"/>
      </rPr>
      <t>Requirement 4:</t>
    </r>
    <r>
      <rPr>
        <sz val="10"/>
        <color theme="1"/>
        <rFont val="Arial"/>
        <family val="2"/>
      </rPr>
      <t xml:space="preserve"> The Global Fund requires all CMs to show evidence of membership of people that are both living with and representing people living with HIV, and of people affected by and representing people affected by Tuberculosis and Malaria as well as people from and representing Key Affected Populations, based on epidemiological as well as human rights and gender considerations. 
</t>
    </r>
  </si>
  <si>
    <r>
      <rPr>
        <b/>
        <sz val="9"/>
        <color theme="1"/>
        <rFont val="Arial"/>
        <family val="2"/>
      </rPr>
      <t xml:space="preserve">J: </t>
    </r>
    <r>
      <rPr>
        <sz val="9"/>
        <color theme="1"/>
        <rFont val="Arial"/>
        <family val="2"/>
      </rPr>
      <t>All non-governmental constituencies represented on the CM selected their representive(s) on their own, through a transparent and documented process.</t>
    </r>
  </si>
  <si>
    <r>
      <rPr>
        <b/>
        <sz val="9"/>
        <color theme="1"/>
        <rFont val="Arial"/>
        <family val="2"/>
      </rPr>
      <t xml:space="preserve">K: </t>
    </r>
    <r>
      <rPr>
        <sz val="9"/>
        <color theme="1"/>
        <rFont val="Arial"/>
        <family val="2"/>
      </rPr>
      <t>CM membership comprises a minimum of 40% representation from national civil society sectors.</t>
    </r>
  </si>
  <si>
    <r>
      <rPr>
        <b/>
        <sz val="10"/>
        <color theme="1"/>
        <rFont val="Arial"/>
        <family val="2"/>
      </rPr>
      <t xml:space="preserve">Requirement 5: </t>
    </r>
    <r>
      <rPr>
        <sz val="10"/>
        <color theme="1"/>
        <rFont val="Arial"/>
        <family val="2"/>
      </rPr>
      <t>The Global Fund requires all CM members representing non-government constituencies to be selected by their own constituencies based on a documented, transparent process, developed within each constituency. This requirement applies to all non-government members including those members under Requirement 4, but not to multilateral and bilateral partners.</t>
    </r>
  </si>
  <si>
    <t xml:space="preserve"> - The CM membership details shows that the CM Chair and Vice-Chair are from different sectors (government, national civil society sector, and development partners), and there are clear procedures for rotation as well as periodic change of the leadership.
- CM Bylaws or governance manual.</t>
  </si>
  <si>
    <r>
      <rPr>
        <b/>
        <sz val="9"/>
        <color theme="1"/>
        <rFont val="Arial"/>
        <family val="2"/>
      </rPr>
      <t xml:space="preserve">L: </t>
    </r>
    <r>
      <rPr>
        <sz val="9"/>
        <color theme="1"/>
        <rFont val="Arial"/>
        <family val="2"/>
      </rPr>
      <t>CM has clearly defined processes of soliciting inputs from and providing feedback to their constituencies that selected them to represent their interests in the CM.</t>
    </r>
  </si>
  <si>
    <r>
      <rPr>
        <b/>
        <sz val="9"/>
        <color theme="1"/>
        <rFont val="Arial"/>
        <family val="2"/>
      </rPr>
      <t>M</t>
    </r>
    <r>
      <rPr>
        <sz val="9"/>
        <color theme="1"/>
        <rFont val="Arial"/>
        <family val="2"/>
      </rPr>
      <t>: The CM elects its Chair and Vice-Chair(s) from different sectors (government, national civil society and development partners ) and also follows good governance principles of periodic change and rotation of leadership according to CM by-laws.</t>
    </r>
  </si>
  <si>
    <r>
      <rPr>
        <b/>
        <sz val="9"/>
        <color theme="1"/>
        <rFont val="Arial"/>
        <family val="2"/>
      </rPr>
      <t xml:space="preserve">N: </t>
    </r>
    <r>
      <rPr>
        <sz val="9"/>
        <color theme="1"/>
        <rFont val="Arial"/>
        <family val="2"/>
      </rPr>
      <t>The CM has a conflict of interest (CoI) policy with rules and procedures to avoid or mitigate CoI, and CM members sign a CoI declaration form.</t>
    </r>
  </si>
  <si>
    <r>
      <rPr>
        <b/>
        <sz val="10"/>
        <color theme="1"/>
        <rFont val="Arial"/>
        <family val="2"/>
      </rPr>
      <t xml:space="preserve">Requirement 6:  </t>
    </r>
    <r>
      <rPr>
        <sz val="10"/>
        <color theme="1"/>
        <rFont val="Arial"/>
        <family val="2"/>
      </rPr>
      <t>To ensure adequate management of conflict of interest, the Global Fund requires all CMs to: 
i. Develop and publish a policy to manage conflict of interest that applies to all CM members, across all CM functions. The policy must state that CM members will periodically declare conflicts of interest affecting themselves or other CM members. The policy must state and CMs must document that members will not take part in decisions where there is an obvious conflict of interest, including decisions related to oversight, and selection or financing PRs or SRs. 
ii. Apply their conflict of interest policy throughout the life of Global Fund grants, and present documented evidence of its application to the Global Fund on request.</t>
    </r>
  </si>
  <si>
    <t>- The CM CoI policy applies to all members (members and alternates) and it requires all members in situations of conflict of interest, in particular PR and SR repesentatives, to recuse from decision making;
- CM CoI declaration forms.</t>
  </si>
  <si>
    <r>
      <rPr>
        <b/>
        <sz val="9"/>
        <color theme="1"/>
        <rFont val="Arial"/>
        <family val="2"/>
      </rPr>
      <t>O:</t>
    </r>
    <r>
      <rPr>
        <sz val="9"/>
        <color theme="1"/>
        <rFont val="Arial"/>
        <family val="2"/>
      </rPr>
      <t xml:space="preserve"> CM meeting minutes demonstrate that CMs follow the procedures to prevent, manage and mitigate CoI.</t>
    </r>
  </si>
  <si>
    <t>- Percentage of CM meeting minutes in the past 12 months in which procedures to prevent, manage and mitigate CoI has been applied.</t>
  </si>
  <si>
    <t>- Not more than one CM member with voting rights per constituency is in a position of conflict of interest as per the CoI declaration forms.
- CM CoI declaration forms; 
- Information on number of CCM members with CoI;
- CM meetings minutes.</t>
  </si>
  <si>
    <r>
      <rPr>
        <b/>
        <sz val="9"/>
        <color theme="1"/>
        <rFont val="Arial"/>
        <family val="2"/>
      </rPr>
      <t xml:space="preserve">P: </t>
    </r>
    <r>
      <rPr>
        <sz val="9"/>
        <color theme="1"/>
        <rFont val="Arial"/>
        <family val="2"/>
      </rPr>
      <t>To guarantee effective decision making, the CM ensures that the number of members in the CM with CoI does not exceed 1 person per constituency (excluding Ex-Officio Members with no voting rights).</t>
    </r>
  </si>
  <si>
    <r>
      <rPr>
        <b/>
        <sz val="9"/>
        <color theme="1"/>
        <rFont val="Arial"/>
        <family val="2"/>
      </rPr>
      <t xml:space="preserve">Q: </t>
    </r>
    <r>
      <rPr>
        <sz val="9"/>
        <color theme="1"/>
        <rFont val="Arial"/>
        <family val="2"/>
      </rPr>
      <t>The CM has adopted and endorsed the Code of Ethical Conduct (CoC). The CoC is applied consistently to all CM members, alternates and secretariat staff, who signed a CoC compliance declaration.</t>
    </r>
  </si>
  <si>
    <r>
      <rPr>
        <b/>
        <sz val="9"/>
        <color theme="1"/>
        <rFont val="Arial"/>
        <family val="2"/>
      </rPr>
      <t xml:space="preserve">R: </t>
    </r>
    <r>
      <rPr>
        <sz val="9"/>
        <color theme="1"/>
        <rFont val="Arial"/>
        <family val="2"/>
      </rPr>
      <t>All CM Members, Alternates, and CM Secretariat Staff to take ethics training.</t>
    </r>
  </si>
  <si>
    <r>
      <rPr>
        <b/>
        <sz val="9"/>
        <color theme="1"/>
        <rFont val="Arial"/>
        <family val="2"/>
      </rPr>
      <t xml:space="preserve">S: </t>
    </r>
    <r>
      <rPr>
        <sz val="9"/>
        <color theme="1"/>
        <rFont val="Arial"/>
        <family val="2"/>
      </rPr>
      <t>CMs appoint one CM member as an Ethics focal point. CMs may also create a small Ethics Committee (of no more than three members) to share ethics responsibilities.</t>
    </r>
  </si>
  <si>
    <t>- Ethics training certificates;
- training attendance lists or reports certifying that all Members, Alternates, and Secretariat Staff have taken a training on ethics.</t>
  </si>
  <si>
    <t>- Meeting minutes indicating the appointment of the focal point or the creation of the Ethics Committee;
- ToRs of the Focal Point or Committee.</t>
  </si>
  <si>
    <t>Coordinating Mechanism</t>
  </si>
  <si>
    <t>0</t>
  </si>
  <si>
    <t>1</t>
  </si>
  <si>
    <t>2</t>
  </si>
  <si>
    <t>3</t>
  </si>
  <si>
    <t>Summary: Coordinating Mechanism Performance and Progress</t>
  </si>
  <si>
    <t>Updated Oversight Plan with relevant annexes (i.e. information exchange/collection tools)
CM/OC meeting minutes showing regular meetings and 50-85% of activities in the Oversight plan implemented</t>
  </si>
  <si>
    <t>OC includes KVP and PLWD representatives.</t>
  </si>
  <si>
    <t>OC includes KVP or PLWD representatives.</t>
  </si>
  <si>
    <t>OC does not include KVP/PLWD representatives.</t>
  </si>
  <si>
    <t>OC does not adopt a risk management approach: does not discuss with PRs ongoing implementation challenges or risk mitigation within program revisions.</t>
  </si>
  <si>
    <t>Does the Coordinating Mechanism (General Assembly - GA) make decisions when problems and challenges are identified? (ER 3E)</t>
  </si>
  <si>
    <t>Does the Coordinating Mechanism have balanced gender representation? (ER 4I)</t>
  </si>
  <si>
    <t>Are non-state members actively engaged in all key committees (oversight, executive, ethics)?</t>
  </si>
  <si>
    <t>Do Coordinating Mechanism members (particularly CS members) actively seek inputs from and provide feedback to their constituencies? (ER 5L)</t>
  </si>
  <si>
    <t>Minutes of constituency meetings</t>
  </si>
  <si>
    <t>National Strategic Health Plan
Meeting minutes
List of attendees</t>
  </si>
  <si>
    <t>Meeting minutes
List of attendees</t>
  </si>
  <si>
    <t>Yes: there is mapping of the health governance landscape but no engagement with other institutions coordinating health programs in the country / region.</t>
  </si>
  <si>
    <t>Assembly agendas and meeting minutes showing discussion on long-term positioning
Meeting minutes of national / regional workshops on integrating health programs coordination</t>
  </si>
  <si>
    <t>How well is the Coordinating Mechanism integrated with the health governance of the country / region?</t>
  </si>
  <si>
    <t>Memorandum of understanding outlining collaboration protocol
Updated Terms of Reference
Oversight tools (for instance, dashboards)
Technical committees meeting minutes</t>
  </si>
  <si>
    <t>Assembly agendas and meeting minutes
Participants' list</t>
  </si>
  <si>
    <t>Mapping of health governance platforms
Meeting minutes documenting civil society priorities in discussions
Contact information of other coordinating platforms engaging with civil society.</t>
  </si>
  <si>
    <t>Secretariat performance management form
Report of CM Secretariat activities
CM members endorsement of budget and use of funds
Debriefing and analytical reports sent to the leadership or technical committees</t>
  </si>
  <si>
    <t>Does the Secretariat ensure effective management of the Coordinating Mechanism's resources?</t>
  </si>
  <si>
    <t>LFA / Audit of CM expenses
Emails proving late submissions to the CM members and the Global Fund and multiple iterations</t>
  </si>
  <si>
    <t>Are Coordination Mechanism members prepared to take on their role?</t>
  </si>
  <si>
    <t>No: No in-person or online orientation completed, absences from key meetings are frequent.</t>
  </si>
  <si>
    <t>Yes but partially: majority of Assemblies have a quorum (75%), at least 1 agenda item on recommendations from technical committees, leadership fosters interactions among sectors.</t>
  </si>
  <si>
    <t>scores 1</t>
  </si>
  <si>
    <t>scores 2</t>
  </si>
  <si>
    <t>scores 3</t>
  </si>
  <si>
    <t>empty column</t>
  </si>
  <si>
    <t xml:space="preserve">No: CM schedules annual reviews of the National Strategic Plan, but there is no evidence of General Assemblies' decisions. </t>
  </si>
  <si>
    <t>No: Reviews of National Strategic Plans are never included in General Assemblies' agenda.</t>
  </si>
  <si>
    <t>Increase representation or influence of specific groups</t>
  </si>
  <si>
    <t>Educate and build capacity on specific thematic areas</t>
  </si>
  <si>
    <t>Deepen CCM oversight on specific areas &amp; access to/use of  data</t>
  </si>
  <si>
    <t>Strategy Area</t>
  </si>
  <si>
    <r>
      <t xml:space="preserve">Are Coordination Mechanism members prepared to take on their role?
</t>
    </r>
    <r>
      <rPr>
        <b/>
        <sz val="10"/>
        <color theme="1"/>
        <rFont val="Arial"/>
        <family val="2"/>
      </rPr>
      <t>[Operations]</t>
    </r>
  </si>
  <si>
    <r>
      <t xml:space="preserve">Is civil society engagement being institutionalised?
</t>
    </r>
    <r>
      <rPr>
        <b/>
        <sz val="10"/>
        <color theme="1"/>
        <rFont val="Arial"/>
        <family val="2"/>
      </rPr>
      <t>[Positioning]</t>
    </r>
  </si>
  <si>
    <r>
      <t xml:space="preserve">Are the relevant ministries in the fight against the diseases represented in the Coordinating Mechanism, in line with the epidemiological context of the country?
</t>
    </r>
    <r>
      <rPr>
        <b/>
        <sz val="10"/>
        <color theme="1"/>
        <rFont val="Arial"/>
        <family val="2"/>
      </rPr>
      <t>[Engagement]</t>
    </r>
  </si>
  <si>
    <t>COORDINATING MECHANISMS CONTRIBUTIONS TO THE GLOBAL FUND STRATEGY</t>
  </si>
  <si>
    <t xml:space="preserve">OC only partially adopts a risk management approach discussing risks flagged by the PRs once per year within planned program revisions. </t>
  </si>
  <si>
    <t>OC adopts a risk management approach based on PR-provided evidence: it reviews bottlenecks identified by the PRs (at least twice per year), documenting decisions, following up on corrective actions and reviewing budget reprogramming as a result.</t>
  </si>
  <si>
    <t>OC meeting minutes showing at least four meetings per year held with each PR, the topics discussed, and recommendations made
Available oversight tools
Available risk management information (e.g. risk matrix in HI and Core countries)</t>
  </si>
  <si>
    <t>OC meeting minutes showing at least two meetings per year held with each PR, the topics discussed, and recommendations made.
Available oversight tools.
Available risk management information (e.g. risk matrix in HI and Core countries)</t>
  </si>
  <si>
    <t>OC meeting minutes showing at least one meeting per year held with each PR, the topics discussed, and recommendations made.
Available oversight tools
Available risk management information (e.g. risk matrix in HI and Core countries)</t>
  </si>
  <si>
    <t>Assembly minutes: meetings held during the last 12 months show discussions on OC recommendations, corresponding decisions, an agreed action plan and evidence of constant follow-up on corrective activities</t>
  </si>
  <si>
    <t>OC minutes showing at least 1 discussion per year on co-financing commitments</t>
  </si>
  <si>
    <t>Election meeting minutes
Candidates' terms of reference
Evaluation Committee terms of reference
Proof of publication of election calls
Consultation meeting minutes</t>
  </si>
  <si>
    <t>Election meeting minutes
Candidates' terms of reference
Evaluation Committee terms of reference
Proof of publication of election calls</t>
  </si>
  <si>
    <t>Election meeting minutes
Candidates' terms of reference</t>
  </si>
  <si>
    <t xml:space="preserve">Memorandum of Understanding / governmental decree on integration of health coordination functions
Positioning plan
Minutes of joint meetings on health programs review
</t>
  </si>
  <si>
    <t>Memoranda / governmental decree formalising the role of civil society in health program coordination and its specific roles in structures
Contact information</t>
  </si>
  <si>
    <t>Meeting Minutes of the orientation session
Participants List
Orientation material
Completion list of online trainings</t>
  </si>
  <si>
    <t xml:space="preserve">The Coordinating Mechanism ensures the availability, quality and analysis of information for its discussions with PRs, CTs and other stakeholders. A data/information-driven culture has been embedded. Global Fund investments are proactively assessed against and adjusted to the overall national response based on triangulated strategic information coming from different sources. </t>
  </si>
  <si>
    <t xml:space="preserve">The Coordinating Mechanism ensures the availability, quality and analysis of information for its discussions with PRs, CTs and other stakeholders. Regular data-based discussions and decisions inform key GF processes (e.g., funding request preparation, program revisions, oversight of implementation, etc.) without systematic linkages with the overall health response. </t>
  </si>
  <si>
    <t xml:space="preserve">CMs are proactively managing grant-related risks and providing guidance to implementers to ensure that risk management activities (identification, prioritization and mitigation) are carried out for the portfolio. CMs ensure that PRs are managing grant related risks on an ongoing basis. In countries classified as High Impact or Core, CMs participate in Risk and Assurance Workshops and identify 3-5 key portfolio risks for follow up by relevant CM committees. </t>
  </si>
  <si>
    <t>The CM members are selected/elected through ad hoc and non-documented processes. No evidence of appropriate (coverage and timeframe) consultations and mobilization of relevant CS groups (PLWDs, Key affected and vulnerable populations, etc.) leading to the elections.</t>
  </si>
  <si>
    <t>Voices of CM constituencies’ representatives (particularly civil society and communities) are amplified in health and other relevant sectors’ governance, leadership and coordination spaces. This participation is documented, systematic, goes beyond attendance and involves information sharing with the CM.</t>
  </si>
  <si>
    <t>Members engage actively in CM meetings and activities and voice their constituencies' positions. Efforts from the leadership to ensure a balanced participation of each constituency represented in CM debates and decision-making processes is systematic. All sectors are actively engaged in all key committees (oversight and executive). CM constituencies prepare thoroughly for every key GF processes in which they participate and define constituency-specific positions. Attendance surpasses the required quorum at every meeting.</t>
  </si>
  <si>
    <t>The CM co-creates a vision for positioning, alignment and harmonization with all relevant in-country stakeholders.</t>
  </si>
  <si>
    <t xml:space="preserve">The CM has clearly documented decision-making processes in place. The processes are observed and applied most of the time. Not all decisions take on board all membersThe CM fosters a respectful and inclusive environment where active and effective contributions by all members are sought and considered. Decisions are made in a transparent and equitable manner according to the CM’s clearly documented processes. Decisions are based on information (not always triangulated) and aim for maximum efficiencies of the GF investments. The CM Code of Conduct has been adopted, members have been sensitized about it and is frequently used as a guiding document. input. The CM Code of Conduct has been adopted and members have been sensitized. </t>
  </si>
  <si>
    <t xml:space="preserve">The leadership proactively fosters regular and pertinent interactions among all internal and external stakeholders. CM members participate and contribute to debates and decision-making processes. CM meetings are managed effectively, using standard protocols to manage time, ensure quorum, manage potential conflicts of interest, organize participation by members and lead to implementable and documented decisions. Membership (including leadership) renewal occurs in accordance with CM governance documents and procedures. A robust performance management system (in line with Global Fund expectations) of the CM secretariat is in place and regularly implemented.   </t>
  </si>
  <si>
    <t>Few members participate in CM discussions and decision-making processes. CM meetings do not follow basic standard protocols. Membership (including leadership) renewal happens on an ad hoc basis. The CM secretariat does not have specific objectives and is not managed by the CM leadership.</t>
  </si>
  <si>
    <t>Deepen CCM oversight on specific areas &amp; access to/use of data</t>
  </si>
  <si>
    <r>
      <t>Does the Coordinating Mechanism contribute to the development of the National Strategic Plan, including community-system strengthening?</t>
    </r>
    <r>
      <rPr>
        <b/>
        <sz val="10"/>
        <color theme="1"/>
        <rFont val="Arial"/>
        <family val="2"/>
      </rPr>
      <t xml:space="preserve">
[Engagement]</t>
    </r>
  </si>
  <si>
    <t>Funding Agreement name</t>
  </si>
  <si>
    <t>Are the relevant ministries in the fight against the diseases represented in the Coordinating Mechanism, in line with the epidemiological context of the country?</t>
  </si>
  <si>
    <t>Does the Coordinating Mechanism contribute to the development of the National Strategic Plan, including community-system strengthening?</t>
  </si>
  <si>
    <t>Did the CM complete a separate baseline at the beginning of the performance period?</t>
  </si>
  <si>
    <t>Does the CM have a Funding Agreement with the Global Fund?</t>
  </si>
  <si>
    <t>IT - Internet data, equipment, software &amp; applications for civil society representative</t>
  </si>
  <si>
    <t>Meetings: Civil Society training pre- and post- General Assemblies</t>
  </si>
  <si>
    <t>South-to-South CM Secretariat mentoring</t>
  </si>
  <si>
    <t>Threshold Comments</t>
  </si>
  <si>
    <t>Global Fund comments</t>
  </si>
  <si>
    <t>Variation</t>
  </si>
  <si>
    <t>GF Comments</t>
  </si>
  <si>
    <t>Agreement start date (day-month-year)</t>
  </si>
  <si>
    <t>Agreement end date (day-month-year)</t>
  </si>
  <si>
    <t xml:space="preserve">OC terms of reference (TORs)
List of OC members (Partner Portal - GED updated in the last 6 months)
CVs of OC members
Minutes documenting nomination of OC members show presence of 100% of members with required skill sets and full alignment with grant and national priorities and objectives </t>
  </si>
  <si>
    <t>OC terms of reference (TORs)
List of OC members (Partner Portal - GED updated in the last 6 months)
CVs of OC members
Minutes documenting nomination of OC members show presence of at least 75% of the required skill sets and full alignment with grant priorities and objectives</t>
  </si>
  <si>
    <t>OC terms of reference (TORs)
List of OC members (Partner Portal - GED updated in the last 6 months)
CVs of OC members
Minutes documenting nomination of OC members show presence of at least 50% of the required skill sets and partial alignment with grant priorities and objectives</t>
  </si>
  <si>
    <t>List of OC members (Partner Portal - GED updated in the last 6 months)
CVs of OC members</t>
  </si>
  <si>
    <t>CCM Bylaws / Governance Manual specifying OC committee composition or OC terms of reference (TORs)
List of OC members (Partner Portal - GED updated in the last 6 months)
CVs or short bios of OC KVP and PLWIDs members</t>
  </si>
  <si>
    <t>Membership list (Partner Portal - GED updated in the last 6 months)
Epidemiological Reports
List of NGOs representing key affected groups
Civil Society elections meeting minutes
Constituency engagement meeting minutes</t>
  </si>
  <si>
    <t>Membership list (Partner Portal - GED updated in the last 6 months)
Epidemiological Reports
List of NGOs representing key affected groups
Civil Society elections meeting minutes</t>
  </si>
  <si>
    <t>Memorandum of understanding outlining collaboration protocol
Updated Terms of Reference and governance manuals
Updated organogram, Membership list (Partner Portal - GED updated in the last 6 months) and Secretariat structure</t>
  </si>
  <si>
    <t>Membership list (Partner Portal - GED updated in the last 6 months)
Epidemiological Reports
Government appointment letters
General Assembly meeting minutes</t>
  </si>
  <si>
    <t>CoI Policy
CoI forms
Membership list (Partner Portal - GED updated in the last 6 months)
Assembly meeting minutes noting that members with CoI do not influence discussions or voting</t>
  </si>
  <si>
    <t>Membership list (Partner Portal - GED updated in the last 6 months)
Government appointment letters</t>
  </si>
  <si>
    <t>CoI Policy
CoI forms
Membership list (Partner Portal - GED updated in the last 6 months)</t>
  </si>
  <si>
    <t>Membership list (Partner Portal - GED updated in the last 6 months)
Election meeting minutes
Technical Committee Membership list (Partner Portal - GED updated in the last 6 months)
General Assemblies meeting minutes showing focus on gender-based stigma or other issues.</t>
  </si>
  <si>
    <t>Membership list (Partner Portal - GED updated in the last 6 months)
Election meeting minutes
Technical Committee Membership list (Partner Portal - GED updated in the last 6 months)</t>
  </si>
  <si>
    <t>Membership list (Partner Portal - GED updated in the last 6 months)
Election meeting minutes</t>
  </si>
  <si>
    <t>Membership list (Partner Portal - GED updated in the last 6 months)</t>
  </si>
  <si>
    <t>Governance manuals
Membership list (Partner Portal - GED updated in the last 6 months)
Epidemiological Report
Election meeting minutes
Constituency consultations meeting minutes</t>
  </si>
  <si>
    <t>Governance manuals
Membership list (Partner Portal - GED updated in the last 6 months)
Epidemiological Report
List of NGOs indirectly representing communities</t>
  </si>
  <si>
    <t>Governance manuals
Membership list (Partner Portal - GED updated in the last 6 months)</t>
  </si>
  <si>
    <t>Apply performance-based change to the Funding Agreement</t>
  </si>
  <si>
    <t>Level 1  =25%</t>
  </si>
  <si>
    <t>Level 2 = 58%</t>
  </si>
  <si>
    <t>Level  3 = 90%</t>
  </si>
  <si>
    <t>Select interventions for improvement</t>
  </si>
  <si>
    <t>Qualitative Baseline</t>
  </si>
  <si>
    <t>QUALITATIVE BASELINE</t>
  </si>
  <si>
    <t>Qualitative Feedback</t>
  </si>
  <si>
    <t>Fully compliant</t>
  </si>
  <si>
    <t>Insert Global Fund comments on CM performance</t>
  </si>
  <si>
    <t>Validated results</t>
  </si>
  <si>
    <t>Oversight / Transition Officer</t>
  </si>
  <si>
    <t>Implement CM Secretariat Performance Management</t>
  </si>
  <si>
    <t>DIPENDENT DROP-DOWN</t>
  </si>
  <si>
    <t>Level 1</t>
  </si>
  <si>
    <t>Level 2</t>
  </si>
  <si>
    <t>Select Interventions for improvement</t>
  </si>
  <si>
    <t>Only TA Support</t>
  </si>
  <si>
    <t>Meetings: National stakeholder consultations</t>
  </si>
  <si>
    <t>All TA and costed activities</t>
  </si>
  <si>
    <t>Areas of attention 1</t>
  </si>
  <si>
    <t>Areas of attention 2</t>
  </si>
  <si>
    <t>No interventions</t>
  </si>
  <si>
    <t>- Each civil society representative on the CM has a work plan from their constituency that specifies key tasks and communication responsibilities which they need to fulfil as a representative of the constituency;- meeting minutes &amp; evidence of regular exchange.</t>
  </si>
  <si>
    <t>- Meeting minutes with CoC adopted; - Documentation on the consistent CoC application;- CM members have signed a CoC compliance declaration form. New members and new staff sign the declaration before being actively involved in CM activities (within 3 months).</t>
  </si>
  <si>
    <t>- CM Membership list including key affected and most at risks populations either as representatives of organized groups and/or networks or as individual representatives. In countries where these groups are criminalized, "advocates" instead of direct representation.</t>
  </si>
  <si>
    <t>- Dated meeting minutes from each civil society constituency documenting the process it followed to select its representative(s) on the CM;- CM membership list;
- member endorsement letter from civil society constituencies.</t>
  </si>
  <si>
    <t>Did the CM do a qualitative assessment (baseline) before this performance period?</t>
  </si>
  <si>
    <t>Evaluation type</t>
  </si>
  <si>
    <t>Annual check</t>
  </si>
  <si>
    <t>In-depth (Qualitative baseline)</t>
  </si>
  <si>
    <t>The CM does not have clearly documented decision-making processes. These processes focus on meeting compliance requirements rather than effectiveness of CM operations and the application of governance principles. The CM Code of Conduct has not been adopted and members have not been made aware of it.</t>
  </si>
  <si>
    <t>Operations 2</t>
  </si>
  <si>
    <t xml:space="preserve">The CM Secretariat provides strategic support to the CM leadership and other core committees to fulfil their functions, ensure the observance of governance and ethical principles and to civil society representatives for enhanced engagement. The CM Secretariat supports data-driven dialogue and decision making amongst all stakeholders. The secretariat also contributes to identifying and harnessing opportunities for collaboration and alignment aimed at strategic positioning of the CM. In addition, the CM secretariat proactively leads and facilitates members’ skills building and induction activities whenever appropriate, throughout the grant life cycle. </t>
  </si>
  <si>
    <r>
      <t>Performance-based change (P.B.C.)
P</t>
    </r>
    <r>
      <rPr>
        <b/>
        <i/>
        <sz val="11"/>
        <color theme="0"/>
        <rFont val="Arial"/>
        <family val="2"/>
      </rPr>
      <t>ositive or negative % to be applied to the annual disbursements</t>
    </r>
  </si>
  <si>
    <t>Validated change for:</t>
  </si>
  <si>
    <t>Year 1 disb</t>
  </si>
  <si>
    <t>Year 2 disb</t>
  </si>
  <si>
    <t>Year 3 disb</t>
  </si>
  <si>
    <t>Next agreement</t>
  </si>
  <si>
    <r>
      <t xml:space="preserve">Insert focus activities </t>
    </r>
    <r>
      <rPr>
        <b/>
        <sz val="9"/>
        <color theme="1"/>
        <rFont val="Arial"/>
        <family val="2"/>
      </rPr>
      <t>(to be applied in Year 1)</t>
    </r>
  </si>
  <si>
    <r>
      <t xml:space="preserve">Insert focus activities </t>
    </r>
    <r>
      <rPr>
        <b/>
        <sz val="9"/>
        <color theme="1"/>
        <rFont val="Arial"/>
        <family val="2"/>
      </rPr>
      <t>(to be applied in Year 2)</t>
    </r>
  </si>
  <si>
    <r>
      <t xml:space="preserve">Insert focus activities </t>
    </r>
    <r>
      <rPr>
        <b/>
        <sz val="9"/>
        <color theme="1"/>
        <rFont val="Arial"/>
        <family val="2"/>
      </rPr>
      <t>(to be applied in Year 3)</t>
    </r>
  </si>
  <si>
    <t xml:space="preserve">OC membership has skills that are partially aligned with grant priorities. It may not include one or more of the following: finance management, disease-specific expertise, procurement &amp; supply management, program &amp; health systems management, </t>
  </si>
  <si>
    <t>Yes: but with self-governed processes that, despite being documented, are not always inclusive as prescribed in the CM governance documents.</t>
  </si>
  <si>
    <t>Yes: documented, open and transparent processes. Not always combined with widely published consultations with all the civil society constituencies, even if in line with governance documents of the CM.</t>
  </si>
  <si>
    <t xml:space="preserve">Yes: it is updated annually to include at least quarterly meetings with PRs &amp; site visits in alignment with national program targets &amp; risks. It also includes information on how CM engages external stakeholders in oversight: regular meetings with independent monitoring actors, detail of data collection and sharing, etc...  
</t>
  </si>
  <si>
    <t xml:space="preserve">Yes: it is updated annually to include quarterly meetings with PRs &amp; site visits, and data collection from sources other than the CM (independent monitoring actors).  </t>
  </si>
  <si>
    <t>Yes: but it is not annually updated, it includes quarterly meetings, at least bi-annual site visits, but no regular data collection from sources other than the CM.</t>
  </si>
  <si>
    <t xml:space="preserve">OC membership has skills and experience aligned with grant and national program priorities. It includes all the following: finance management, disease-specific expertise, procurement &amp; supply management, program &amp; health systems management. </t>
  </si>
  <si>
    <t xml:space="preserve">OC membership has skills and experience aligned with grant priorities. It includes all the following: finance management, disease-specific expertise, procurement &amp; supply management, program &amp; health systems management. </t>
  </si>
  <si>
    <t>OC membership skills not aligned with grant priorities. It does not include members with at least two of the following skills: finance management, disease-specific expertise, procurement &amp; supply management, program management skills</t>
  </si>
  <si>
    <t xml:space="preserve">Yes: OC meets at least annually with CLM platforms and reviews their reports on program implementation, using dashboards or other digital tools (where available, such as health software / other national data). It consults regularly with implementers in the field, health workers and patients. </t>
  </si>
  <si>
    <t>Yes: OC consults implementers on the field, health workers and patients during site visits, at least twice a year, engaging with CLM platforms.</t>
  </si>
  <si>
    <t xml:space="preserve">No: OC does not consult implementers on the field, health workers or patients. Site visits are sporadic (annual) and there is no engagement with CLM platforms. </t>
  </si>
  <si>
    <t>Does the OC meet regularly with Principal Recipients (PRs) to collect strategic information and discuss implementation progress, challenges, risks, or the need for program revisions?
(ER 3D)</t>
  </si>
  <si>
    <t>Communication plan
Letters or emails sent by the Coordinating Mechanism
Minutes of annual workshop with in-country stakeholders on lessons learnt
CM website publications/oversight bulletins</t>
  </si>
  <si>
    <t xml:space="preserve">CM Secretariat regularly shares information on oversight activities with the GF, communities and other in-country partners and national programs. Communities have access to oversight data through a regularly updated website, connectivity mapping, data bundles, or other online applications. </t>
  </si>
  <si>
    <t>CM / OC does not follow up on co-financing commitments.</t>
  </si>
  <si>
    <t>CM / OC follows up on co-financing but does not meet with the governmental counterpart.</t>
  </si>
  <si>
    <t xml:space="preserve">CM leadership holds bi-annual meetings with relevant ministries/governmental counterparts to agree / re-enforce co-financing schedules and informs the General Assembly. </t>
  </si>
  <si>
    <t xml:space="preserve">CM leadership holds annual meetings with relevant ministries/government counterparts to agree / re-enforce co-financing schedules and informs the General Assembly. </t>
  </si>
  <si>
    <t xml:space="preserve">Yes: indirect representation (national / international NGOs, community-based organizations, etc) represent the main key affected groups based on the epidemiology of the country / region.
This includes refugees or displaced persons, in challenging operating environments. </t>
  </si>
  <si>
    <t xml:space="preserve">No: there is no available evidence that key affected groups are represented - not even through indirect representation (national / international NGOs, community-based organizations etc.).
This includes refugees or displaced persons, in challenging operating environments. </t>
  </si>
  <si>
    <t>Ministries of Health, Finance, other relevant ministries for social protection (Welfare, Women, Development, Interior, Education etc.) or parliamentarians are represented. At least one of them in a leadership role in the CM (Chair / Vice Chair) or in its technical committees.</t>
  </si>
  <si>
    <t>At least the Ministries of Health and Finance are represented by high-ranking official(s). One of them with a leadership role in the CM (Chair / Vice Chair).</t>
  </si>
  <si>
    <t>Ministry of Health is represented - but member is not a high-ranking official. Ministries of Finance and/or Social Protection are not represented.</t>
  </si>
  <si>
    <t xml:space="preserve">Yes: widely published, documented, open and transparent processes. Constituencies are mobilised well in advance to organise consultations prior to self-governed elections, in alignment with CM governance documents. </t>
  </si>
  <si>
    <t>No: selection through ad hoc and undocumented processes.</t>
  </si>
  <si>
    <t>Memorandum of Understanding / governmental decree establishing shared chairmanship and rotation of CM leadership and its governance rules / governmental decree establishing CM anchoring and its permanent chairmanship
Governance manuals
Election meeting minutes</t>
  </si>
  <si>
    <t>Yes: and is not over-represented (not above 51%) and it has direct representation of Key Affected Groups.</t>
  </si>
  <si>
    <t>Yes: and is not over-represented (not above 51%) but it does not include direct representation of Key Affected Groups.</t>
  </si>
  <si>
    <t>Yes: but with over-representation of above 51%, creating imbalances in the CM</t>
  </si>
  <si>
    <t>No: non-state members do not have chair or vice-chair roles in any committee.</t>
  </si>
  <si>
    <t>Yes: all sectors have documented communication modalities. Civil Society representatives hold (at least quarterly) meetings to get inputs on Civil Society priorities and report to the GA what they hear from communities as a standing agenda point in all GA.</t>
  </si>
  <si>
    <t xml:space="preserve">Engagement/communication plans
Funding Agreement budgets and reports
Minutes of constituency meetings
General assembly meeting minutes showing different sectors' priorities are discussed
CLM reports
</t>
  </si>
  <si>
    <t>Yes:  Civil Society representatives hold at least two meetings per year to get inputs on Civil Society priorities and report to the GA what they are hearing from communities, there is a standing agenda point on CS in at least 50% of GA agendas.</t>
  </si>
  <si>
    <t xml:space="preserve">Engagement/communication plans
Funding Agreement budgets and reports
Minutes of constituency meetings
General assembly meetings showing civil society priorities are discussed
CLM reports
</t>
  </si>
  <si>
    <t>No: No communication plans for Civil Society constituencies nor evidence of engagement from any other sector are available.</t>
  </si>
  <si>
    <t xml:space="preserve">Yes: CM regularly reviews National Strategic and Community-System Strengthening Plans. CM leadership actively participates in country meetings on national health response development. </t>
  </si>
  <si>
    <t xml:space="preserve">Yes: CM reviews National Strategic and/or Community-System Strengthening Plans once per year, but no evidence of leadership's follow-up on General Assemblies' decisions. </t>
  </si>
  <si>
    <t>Do Coordinating Mechanism members actively seek inputs from and provide feedback to their constituencies (particularly CS members, on barriers to access quality services)? (ER 5L)</t>
  </si>
  <si>
    <t xml:space="preserve">Yes: there is a recent mapping of the health governance landscape and closer engagement begun with other institutions coordinating health programs in the country / region. </t>
  </si>
  <si>
    <t xml:space="preserve">Yes: and it envisages a formal integration of Global Fund grant coordination with other health programs in the next 3 years. </t>
  </si>
  <si>
    <t xml:space="preserve">Yes: and it envisages a closer collaboration with existing health platforms. No formal integration of Global Fund grant coordination with other health programs. </t>
  </si>
  <si>
    <t xml:space="preserve">No: but long-term positioning of the CM has been discussed. A positioning plan is expected in the next year. </t>
  </si>
  <si>
    <t>No: and it is not a priority in the next year.</t>
  </si>
  <si>
    <t xml:space="preserve">No integrated governance structures but shared data (private or national database) and monitoring tools with other health governance bodies, (including ones for pandemic preparedness and health systems strengthening) and joint technical meetings on program monitoring or oversight. </t>
  </si>
  <si>
    <t xml:space="preserve">Aligned health program objectives, at least 1 workshop per year with 1 or more health program coordinating platforms, aiming to influence, decision-making related to national health programs (including pandemic preparedness). </t>
  </si>
  <si>
    <t xml:space="preserve">Oversight of Global Fund Programs is integrated into a larger health governance institution or body which manages priority health systems functions, pandemic preparedness and supply chains </t>
  </si>
  <si>
    <t>Certification of registration / governmental decree stating the new health program coordination arrangements
Updated Terms of Reference and governance manuals
Updated organigram, Membership list (Partner Portal - GED updated in the last 6 months) and Secretariat structure</t>
  </si>
  <si>
    <t>Operations are focused on Global Fund programs but there are informal arrangements with larger health governance institutions, who are regularly consulted with and/or invited to attend General Assemblies.</t>
  </si>
  <si>
    <t>Yes:  representatives from key vulnerable communities are part of the CCM Executive Committee / Board and engaged in other coordination platforms, beyond the Coordinating Mechanism.</t>
  </si>
  <si>
    <t>No: representatives from key vulnerable communities are part of the CCM Executive Committee / Board but are only engaged in Global Fund processes.</t>
  </si>
  <si>
    <t xml:space="preserve">No: no representatives from key vulnerable communities are part of the CCM Executive Committee / Bureau. </t>
  </si>
  <si>
    <t>No: CoI forms signed, Code of Conduct approved but not systematically applied (No Ethics Focal Point / Committee).</t>
  </si>
  <si>
    <t>No: CoI forms not signed, Code of Conduct not approved.</t>
  </si>
  <si>
    <t xml:space="preserve">Yes: The Chair is not an implementer, the only PR members are from MoH, PR/SR seats are at maximum 2 per sector (Gov / ML-BL / Non-state sectors) and have non-implementer alternates. </t>
  </si>
  <si>
    <t xml:space="preserve">Yes: The Chair is not an implementer, all PR/SR seats may be more than 2 per sector (GOV / ML-BL / Non-state sectors), but all have non-implementer alternates. </t>
  </si>
  <si>
    <t>No: The Chair is an SR and / or implementers (members or alternates) have more than 2 seats per sector (GOV / ML-BL / Non-state sectors)</t>
  </si>
  <si>
    <t xml:space="preserve">No: The Chair is a PR, and / or implementers (members or alternates) have more than 2 seats per sector (GOV / ML-BL / Non-state sectors). CoI not always disclosed during General Assemblies.  </t>
  </si>
  <si>
    <t>Does the Coordinating Mechanism follow procedures to prevent or mitigate conflicts of interest, during the (PR) selection process? (ER 6O, 6P)</t>
  </si>
  <si>
    <t xml:space="preserve">Yes: Ethics Focal Point / Committee provides regular updates to the leadership and General Assemblies (quarterly), identifies (annually) ethical risks to the coordination &amp; implementation of programs and has a response framework to prevent and proactively manage allegations of misconduct. </t>
  </si>
  <si>
    <t>Does the Coordinating Mechanism respond to Ethical issues? (ER 6S)</t>
  </si>
  <si>
    <t xml:space="preserve">No: agendas and meeting documents are sent in advance, but there is irregular follow-up on meeting minutes, rare updates on the use of CM resources, or sharing of Global Fund guidance. </t>
  </si>
  <si>
    <t xml:space="preserve">No: meeting agendas and preparatory documents are not shared in advance; meeting minutes are not shared for review. There are no updates on the management of CM resources or on Global Fund guidance.  </t>
  </si>
  <si>
    <t>Does the Leadership provide effective performance management of Coordinating Mechanism Secretariat staff?</t>
  </si>
  <si>
    <t xml:space="preserve">Yes: CM Secretariat's staff have individual performance metrics assessed on an annual basis by the CM leadership with inputs from all constituencies and endorsed by the CM. The assessment is always followed by an improvement plan addressing capacity gaps, fulfilling contractual obligations, and promoting personal development. </t>
  </si>
  <si>
    <t xml:space="preserve">Yes: CM Secretariat staff have individual performance metrics assessed on an annual basis by the CM leadership only. The assessment is sometimes followed by improvement plans. </t>
  </si>
  <si>
    <t>No: CM Secretariat staff do not have individual performance metrics, but the CM provides feedback on an annual basis through surveys / General Assemblies / CM leadership.</t>
  </si>
  <si>
    <t>No: No CM Secretariat staff performance management process is in place.</t>
  </si>
  <si>
    <t xml:space="preserve">Yes: absorption of funds is above 90%, there are no issues with the verification of expenses, good quality funding documents are sent regularly to CM members for review and endorsement and shared with the Global Fund in a timely manner. </t>
  </si>
  <si>
    <t>LFA / Audit of CM expenses
CM funding documents
Compliance with the allocation of 15% of the annual budget to CS activities
Meeting minutes on results CM and Secretariat activities</t>
  </si>
  <si>
    <t xml:space="preserve">Yes: absorption of funds is between 75% and 90%, there are no issues in the verification of expenses, good quality funding documents are sent at least annually to CM members for review and endorsement and shared with the Global Fund in a timely manner. </t>
  </si>
  <si>
    <t>LFA / Audit of CM expenses
CM funding documents
Compliance with the allocation of 15% of the annual budget to CS activities
Meeting minutes on results CM and Secretariat activities
Justification for under-absorption</t>
  </si>
  <si>
    <t>LFA / Audit of CM expenses
Emails proving late submissions to CM members and Global Fund and multiple iterations
Compliance with the allocation of 15% of the annual budget to CS activities
CM funding documents</t>
  </si>
  <si>
    <t xml:space="preserve">Yes: CM members have completed at least the essential modules of the online training and receive a "refresher" at the annual CM retreat. </t>
  </si>
  <si>
    <t>Does the CM regularly review its structure and associated governance documents to ensure relevance?</t>
  </si>
  <si>
    <t>Yes: Governance documents and ToRs (for Secretariats, technical committees etc.) updated in the last 3 years to align CM functions to GF priorities, with representation on RSSH, TB, Malaria, Pandemic Preparedness and Key Affected Populations in place.</t>
  </si>
  <si>
    <t>No: Governance documents and Terms of References (for Secretariats, technical committees etc..) updated in the last 5 years but none of the following included or planned: RSSH representation,TB, Malaria, Pandemic Preparedness focal point and Key Affected Populations</t>
  </si>
  <si>
    <t>No: Governance documents and Terms of References (for Secretariats / technical committees / etc..) not updated in the last 5 years</t>
  </si>
  <si>
    <t>Yes: all Assemblies have a quorum, at least 50% of agenda items are on recommendations from technical committees, CM leadership fosters strong interactions between sectors.</t>
  </si>
  <si>
    <t xml:space="preserve">No: Assemblies do not always have a quorum (50%), do not always have recommendations from technical committees in agenda, CM leadership is not always present. </t>
  </si>
  <si>
    <t>Does the Coordinating mechanism perform its core functions?</t>
  </si>
  <si>
    <r>
      <rPr>
        <sz val="9"/>
        <color theme="1"/>
        <rFont val="Arial"/>
        <family val="2"/>
      </rPr>
      <t>Yes: Regularly shares guidance on Global Fund objectives and strategies, provides excellent support to meetings and strong financial management of CM budget. Performs good analysis of grant implementation data for decision-making, follows up on CM decisions.</t>
    </r>
  </si>
  <si>
    <r>
      <rPr>
        <sz val="9"/>
        <color theme="1"/>
        <rFont val="Arial"/>
        <family val="2"/>
      </rPr>
      <t>Yes: Regularly shares guidance on Global Fund objectives and strategies, provides good support to meetings. Does not perform regular analysis of data for decision making but follows up on CM.</t>
    </r>
  </si>
  <si>
    <r>
      <t xml:space="preserve">International consultant to oversee the implementation of the Positioning plan (onsite / remote) </t>
    </r>
    <r>
      <rPr>
        <i/>
        <sz val="9"/>
        <color theme="1"/>
        <rFont val="Arial"/>
        <family val="2"/>
      </rPr>
      <t xml:space="preserve">(provided by GF) </t>
    </r>
  </si>
  <si>
    <r>
      <t xml:space="preserve">CM Orientation (online modules / international consultant) </t>
    </r>
    <r>
      <rPr>
        <i/>
        <sz val="9"/>
        <color theme="1"/>
        <rFont val="Arial"/>
        <family val="2"/>
      </rPr>
      <t xml:space="preserve">(provided by GF) </t>
    </r>
  </si>
  <si>
    <r>
      <t xml:space="preserve">International consultant for CM Revamp / Reform (onsite / remote) </t>
    </r>
    <r>
      <rPr>
        <i/>
        <sz val="9"/>
        <color theme="1"/>
        <rFont val="Arial"/>
        <family val="2"/>
      </rPr>
      <t xml:space="preserve">(provided by GF) </t>
    </r>
  </si>
  <si>
    <r>
      <t xml:space="preserve">International consultant to coordinate CM constituency elections (on-site / remote)  </t>
    </r>
    <r>
      <rPr>
        <i/>
        <sz val="9"/>
        <color theme="1"/>
        <rFont val="Arial"/>
        <family val="2"/>
      </rPr>
      <t xml:space="preserve">(provided by GF) </t>
    </r>
  </si>
  <si>
    <r>
      <t>International consultant to review framework documents (onsite / remote)</t>
    </r>
    <r>
      <rPr>
        <i/>
        <sz val="9"/>
        <color theme="1"/>
        <rFont val="Arial"/>
        <family val="2"/>
      </rPr>
      <t xml:space="preserve"> (provided by GF) </t>
    </r>
  </si>
  <si>
    <r>
      <t xml:space="preserve">International Consultant (on-site support / remote accompaniment) </t>
    </r>
    <r>
      <rPr>
        <i/>
        <sz val="9"/>
        <color theme="1"/>
        <rFont val="Arial"/>
        <family val="2"/>
      </rPr>
      <t xml:space="preserve">(provided by GF) </t>
    </r>
  </si>
  <si>
    <r>
      <t xml:space="preserve">International consultant to review CM composition (onsite / remote)  </t>
    </r>
    <r>
      <rPr>
        <i/>
        <sz val="9"/>
        <color theme="1"/>
        <rFont val="Arial"/>
        <family val="2"/>
      </rPr>
      <t>(provided by GF)</t>
    </r>
    <r>
      <rPr>
        <sz val="9"/>
        <color theme="1"/>
        <rFont val="Arial"/>
        <family val="2"/>
      </rPr>
      <t xml:space="preserve"> </t>
    </r>
  </si>
  <si>
    <r>
      <t xml:space="preserve">Training Know-Your-Grant  </t>
    </r>
    <r>
      <rPr>
        <i/>
        <sz val="9"/>
        <color theme="1"/>
        <rFont val="Arial"/>
        <family val="2"/>
      </rPr>
      <t>(provided by GF)</t>
    </r>
    <r>
      <rPr>
        <sz val="9"/>
        <color theme="1"/>
        <rFont val="Arial"/>
        <family val="2"/>
      </rPr>
      <t xml:space="preserve"> </t>
    </r>
  </si>
  <si>
    <r>
      <t xml:space="preserve">Training on Community Based Monitoring (CBM) data tools and analysis </t>
    </r>
    <r>
      <rPr>
        <i/>
        <sz val="9"/>
        <color theme="1"/>
        <rFont val="Arial"/>
        <family val="2"/>
      </rPr>
      <t xml:space="preserve"> (provided by GF) </t>
    </r>
  </si>
  <si>
    <t>Does the Secretariat provide adequate information to Coordinating Mechanism members, to help them perform their role?</t>
  </si>
  <si>
    <t>Does the OC include *Key and vulnerable populations / People living with the disease(s) (KVP/PLWD) representative(s)? (ER3B)</t>
  </si>
  <si>
    <t>Does the OC regularly collect strategic information, including from non-implementers of GF grants through consultations and/or site visits, for data-driven decision-making? These may include community-lead monitoring (CLM) observatories, human rights complaints mechanisms, ...  (ER3C)</t>
  </si>
  <si>
    <t>Does the OC have the following skills: financial management, disease-specific expertise, procurement and supply management, program management? (ER 3B)</t>
  </si>
  <si>
    <t>Does your Coordinating Mechanism have mechanisms to ensure ethical decision-making? (ER 6N, 6Q, 6R)</t>
  </si>
  <si>
    <t xml:space="preserve">No: the Oversight Committee rarely meets, i.e. only after the validation of PU/DR or for sporadic(annual) site visits. </t>
  </si>
  <si>
    <t xml:space="preserve">Yes: OC meets regularly with CLM platforms and shares data, to inform decisions on overall national health programs, using dashboards, and other digital tools (where available, such as health software / other national data). It consults regularly with implementers in the field, health workers and patients. </t>
  </si>
  <si>
    <t xml:space="preserve">OC adopts a risk management approach based on the use of oversight tools and alternative sources of information: it identifies key risks to achieving grant objectives (at least quarterly), reviews them with the PRs, developing annual risk mitigation plans, proposing budget reprogramming, and ensuring follow-up. </t>
  </si>
  <si>
    <t xml:space="preserve">GAs discuss OC recommendations, make decisions, agree on an action plan, and follow up on its implementation. </t>
  </si>
  <si>
    <t xml:space="preserve">CM Secretariat rarely shares with the GF information on oversight activities. The website does not exist, or it is not regularly updated, and communities do not have access to oversight data. </t>
  </si>
  <si>
    <t xml:space="preserve">Yes: direct representation of all affected groups (community representatives / leaders) is guaranteed. There are mechanisms in place to adapt CM representation at the beginning of each funding cycle. 
This includes ad hoc participation (e.g. as observers) of:
- Cross-cutting groups to be consulted on pandemic preparedness;
- Refugees or displaced persons, in challenging operating environments. </t>
  </si>
  <si>
    <t xml:space="preserve">Yes, both direct (community representatives, leaders) and indirect representation (national/international NGOs, community-based organizations, etc.) represent all key affected groups based on the epidemiology of the country/region. There are mechanisms in place to adapt CM representation at the beginning of each funding cycle, but they may not be consistently implemented. 
This includes ad hoc participation (e.g. as observers) of:
- Cross-cutting groups to be consulted in pandemic preparedness;
- Refugees or displaced persons, in challenging operating environments. </t>
  </si>
  <si>
    <t>Non-male representation is at least 50%, there is a designated representative with expertise in gender issues, and a non-male leader in the CM (Chair and Vice-Chair) or in at least two committees.</t>
  </si>
  <si>
    <t>Shared chair-ship and rotation between gov. and non-state sectors is fully institutionalised and captured in formal documents.
If the chair-ship is pre-assigned to a certain institution as a result of CM (re) positioning and the CM (or its functions) is within a wider health governance body, only a regular rotation of the individuals assigned to this role is expected.</t>
  </si>
  <si>
    <t xml:space="preserve">Chair and Vice-Chair(s) are from different sectors and procedures for periodic change of leadership are adhered to. If chair-ship is always assigned to gov sector, rotation between institutions is ensured.
If the chair-ship is pre-assigned to a certain institution as a result of CM (re)positioning, and the CM (or its functions) is within a wider health governance body, only a regular rotation of the individuals assigned to this role is expected. If this is your case, please select Level 3. </t>
  </si>
  <si>
    <t xml:space="preserve">Chair-ship always assigned to the same gov. institution without rotation, non-state has co or vice chairmanship. There are limited CoI mitigation measures in place.
If the chair-ship is pre-assigned to a certain institution as a result of CM (re)positioning, and the CM (or its functions) is within a wider health governance body only a regular rotation of the individuals assigned to this role is expected. If this is your case, please select Level 3. </t>
  </si>
  <si>
    <t xml:space="preserve">Chair-ship always assigned to the same gov. institution. There are no CoI mitigative measures in place. 
If the chair-ship is pre-assigned to a certain institution as a result of CM (re)positioning, and the CM (r its functions) is within a wider health governance body, only a regular rotation of the individuals assigned to this role is expected. If this is your case please, select Level 3. </t>
  </si>
  <si>
    <t>Yes: non-state members in chair or vice-chair roles in at least three committees, with mechanisms in place to replace members with low (below 70%) attendance rates.</t>
  </si>
  <si>
    <t>Governance manuals
Membership list (Partner Portal - GED updated in the last 6 months) of Committees
Meeting minutes with attendance lists
List of membership changes due to low attendance</t>
  </si>
  <si>
    <t>Yes: non-state members in chair or vice-chair roles in at least one committee, with mechanisms in place to replace members with low (below 70%) attendance rates.</t>
  </si>
  <si>
    <t>Governance manuals
Membership list (Partner Portal - GED updated in the last 6 months) of Committees
Meeting minutes with attendance lists</t>
  </si>
  <si>
    <t>No: non-state members in chair or vice-chair roles in at least one committee but no mechanisms in place to replace members with low attendance rates (below 70%).</t>
  </si>
  <si>
    <r>
      <t>Yes, but not regularly: Civil Society representatives hold at least one meeting per year to get inputs on Civil Society priorities. But no evidence of how community inputs are considered: no standing point in GA agendas for KVP/PLWD members to report what they are hearing from their communities.</t>
    </r>
    <r>
      <rPr>
        <strike/>
        <sz val="9"/>
        <color theme="1"/>
        <rFont val="Arial"/>
        <family val="2"/>
      </rPr>
      <t xml:space="preserve">
</t>
    </r>
  </si>
  <si>
    <t xml:space="preserve">There are shared health governance structures and processes, (including on pandemic preparedness and health systems strengthening) with integrated membership and support (e.g. shared Secretariats and private or national database) providing strategic guidance on program implementation, and focused on community-led or based organizations and social determinants (e.g. gender equality, sexual violence, or sexual health education) </t>
  </si>
  <si>
    <t>Decisions on Global Fund Programs (e.g. Oversight) are made in consultation with wider health governance institutions, including those managing wider health system functions and pandemic preparedness.  Processes are regulated through signed agreements.</t>
  </si>
  <si>
    <t>Yes:  representation and participation of key vulnerable communities in the CCM Executive Committee / Board and is also mandatory in wider health governance platforms.</t>
  </si>
  <si>
    <t>No: No Ethics Focal Point or Committee in place or exists but does not provide annual updates to the General Assemblies.</t>
  </si>
  <si>
    <t>Yes: Ethics Focal Point / Committee provides annual updates to leadership and General Assemblies. Allegations of misconduct are reactively managed without a risk/response framework.</t>
  </si>
  <si>
    <t>No: absorption of funds is above 75%, but there are systematic issues in verification of expenses, with potential ineligible amounts, funding documents are often shared with CM members and with the Global Fund in a timely manner.</t>
  </si>
  <si>
    <t>No: absorption of funds is below 75%, there may be systematic issues in the verification of expenses, with potential ineligible amounts, funding documents not shared with CM members or with the Global Fund in a timely manner.</t>
  </si>
  <si>
    <t xml:space="preserve">Yes: CM members have attended an in-person Orientation moderated by the CM Secretariat (or consultant) after their designation and/or completed at least the essential modules of the online training and receive a "refresher" at the annual CM retreat. </t>
  </si>
  <si>
    <t>Assemblies' agendas
technical committees meeting minutes
Assemblies minutes which highlight discussion of constituency priorities</t>
  </si>
  <si>
    <t>Oversee program implementation and implement an oversight plan</t>
  </si>
  <si>
    <t>Document the representation of affected communities</t>
  </si>
  <si>
    <t>Ensure representation of nongovernmental members through transparent and documented processes</t>
  </si>
  <si>
    <t>Adopt and enforce a code of conduct and conflict of interest policy</t>
  </si>
  <si>
    <t>Secretariat Evaluation report
Secretariat performance management form
Meeting minutes with the validation of Secretariat's performance
Annual performance objectives and improvement plans for staff members
Country Team Assessment (if available)</t>
  </si>
  <si>
    <t>Secretariat Evaluation report
Secretariat performance management form
Meeting minutes with the validation of Secretariat's performance
Annual performance objectives and corrective actions, improvement plans for staff members
Country Team Assessment (if available)</t>
  </si>
  <si>
    <r>
      <t xml:space="preserve">Are key affected and most at risk groups represented in the Coordinating Mechanism?
</t>
    </r>
    <r>
      <rPr>
        <b/>
        <sz val="10"/>
        <color theme="1"/>
        <rFont val="Arial"/>
        <family val="2"/>
      </rPr>
      <t>[Engagement]</t>
    </r>
  </si>
  <si>
    <t>How strong are linkages between the Coordinating Mechanism and other health governance platforms?
[Positioning]</t>
  </si>
  <si>
    <r>
      <rPr>
        <sz val="10"/>
        <color theme="1"/>
        <rFont val="Arial"/>
        <family val="2"/>
      </rPr>
      <t>How well is the Coordinating Mechanism integrated with the health governance of the country / region?</t>
    </r>
    <r>
      <rPr>
        <b/>
        <sz val="10"/>
        <color theme="1"/>
        <rFont val="Arial"/>
        <family val="2"/>
      </rPr>
      <t xml:space="preserve">
[Positioning]</t>
    </r>
  </si>
  <si>
    <r>
      <t xml:space="preserve">Does the Secretariat provide adequate information to Coordinating Mechanism members, to help them perform their role?
</t>
    </r>
    <r>
      <rPr>
        <b/>
        <sz val="10"/>
        <color theme="1"/>
        <rFont val="Arial"/>
        <family val="2"/>
      </rPr>
      <t>[Operations]</t>
    </r>
  </si>
  <si>
    <r>
      <t xml:space="preserve">Does the Coordinating mechanism perform its core functions?
</t>
    </r>
    <r>
      <rPr>
        <b/>
        <sz val="10"/>
        <color theme="1"/>
        <rFont val="Arial"/>
        <family val="2"/>
      </rPr>
      <t>[Operations]</t>
    </r>
  </si>
  <si>
    <t>Does the Coordinating Mechanism contribute to the development of the National Strategic Plan, including community-system strenghtening?</t>
  </si>
  <si>
    <r>
      <t xml:space="preserve">Does the OC regularly collect strategic information, including from non-implementers of GF grants through consultations and/or site visits, for data-driven decision-making? These may include community-lead monitoring (CLM) observatories, human rights complaints mechanisms, ...  </t>
    </r>
    <r>
      <rPr>
        <b/>
        <sz val="10"/>
        <color theme="1"/>
        <rFont val="Arial"/>
        <family val="2"/>
      </rPr>
      <t>[Oversight]</t>
    </r>
  </si>
  <si>
    <r>
      <rPr>
        <sz val="10"/>
        <color theme="1"/>
        <rFont val="Arial"/>
        <family val="2"/>
      </rPr>
      <t>Does the Coordinating Mechanism regularly share and follow up on oversight results with the Global Fund and in-country stakeholders?</t>
    </r>
    <r>
      <rPr>
        <b/>
        <sz val="10"/>
        <color theme="1"/>
        <rFont val="Arial"/>
        <family val="2"/>
      </rPr>
      <t xml:space="preserve">
[Oversight]</t>
    </r>
  </si>
  <si>
    <t>Does the OC include Key and vulnerable populations / People living with the disease(s) (KVP/PLWD) representative(s)? (ER 3B)</t>
  </si>
  <si>
    <t>Does the Coordinating Mechanism follow procedures to prevent or mitigate conflicts of interest, for instance during the (PR) selection process? (ER 6O, 6P)</t>
  </si>
  <si>
    <t xml:space="preserve">Does the Coordinating Mechanism regularly review its structure and associated governance documents to ensure relevance? 
Open seats to be assigned every cycle to an emerging targeted group or technical partner are encouraged. </t>
  </si>
  <si>
    <t>Are Coordinating Mechanism members prepared to take on their role?</t>
  </si>
  <si>
    <t>Does the Coordinating Mechanism perform its core functions?</t>
  </si>
  <si>
    <t>Does the CM Secretariat provide adequate information to Coordinating Mechanism members, to help them perform their role?</t>
  </si>
  <si>
    <t>Does the CM Secretariat ensure effective management of the Coordinating Mechanism's resources?</t>
  </si>
  <si>
    <t>Does the Leadership provide effective performance management of CM Secretariat staff?</t>
  </si>
  <si>
    <t>Organization</t>
  </si>
  <si>
    <t>Non-male representation is at least 40% and there is a non-male leader in the CM (Chair / Vice Chair) or in at least one committee.</t>
  </si>
  <si>
    <t>Non-male representation is less than 40%.</t>
  </si>
  <si>
    <t xml:space="preserve">Non-male representation is higher than 40% but there are only male leaders in the CM (Chair / Vice Chair) and in its committees. </t>
  </si>
  <si>
    <t>Rationale for the rating</t>
  </si>
  <si>
    <t>Link to evidence</t>
  </si>
  <si>
    <t>Question/Topic</t>
  </si>
  <si>
    <t>Area of Responsibility</t>
  </si>
  <si>
    <t>2.Threshold Establishment</t>
  </si>
  <si>
    <t>Year</t>
  </si>
  <si>
    <t>Task Force Members</t>
  </si>
  <si>
    <t>Month</t>
  </si>
  <si>
    <t>Day</t>
  </si>
  <si>
    <t>Consultant</t>
  </si>
  <si>
    <t>Date of completion</t>
  </si>
  <si>
    <t>1.General Information</t>
  </si>
  <si>
    <t>CCM Easter Island</t>
  </si>
  <si>
    <t>Coordinating Mechanism members (particularly CS representatives) carry out activities to solicit inputs from and provide feedback within their constituencies to contribute to sound decisions.</t>
  </si>
  <si>
    <t>Coordinating Mechanism members (particularly Civil Society representatives) engage in country processes on national response (e.g., National Strategic Planning, Program Reviews and Prioritization, Development Partner’s Country Operational Planning).</t>
  </si>
  <si>
    <t>Civil society representatives and communities are proactively serving and engaged in coordination, governance and decision-making bodies and processes beyond the Coordinating Mechanism.</t>
  </si>
  <si>
    <t>The Coordinating Mechanism Secretariat provides effective administratve and  strategic support to the CM and its structures.</t>
  </si>
  <si>
    <t>The Coordinating Mechanism Secretariat provides effective administratve and strategic support to the CCM and its structures.</t>
  </si>
  <si>
    <t>The Coordinating Mechanism Secretariat provides effective administrative and strategic support to the CM and its structures.</t>
  </si>
  <si>
    <t>Threshold Establishment</t>
  </si>
  <si>
    <t>Name of CCM</t>
  </si>
  <si>
    <t>Level</t>
  </si>
  <si>
    <t>Link to upload the attachments</t>
  </si>
  <si>
    <t/>
  </si>
  <si>
    <t>Annual Variation</t>
  </si>
  <si>
    <t>Annual VariatioN</t>
  </si>
  <si>
    <t>The oversight function is aligned with the Global Fund (GF) grant priorities and relevant national processes (e.g., national program reviews and national planning)</t>
  </si>
  <si>
    <t xml:space="preserve">Use of strategic information for action and decision-making throughout the Global Fund (GF) grant-life cycle
</t>
  </si>
  <si>
    <t>Adoption of a risk management approach to oversight</t>
  </si>
  <si>
    <t xml:space="preserve"> CCM supports the realization of co-financing commitments</t>
  </si>
  <si>
    <t xml:space="preserve">CCM constituencies selection/election processes abide by principles of good governance and ensure quality engagement </t>
  </si>
  <si>
    <t>CCM constituencies engagement in GF processes</t>
  </si>
  <si>
    <t>Representatives of CCM constituencies (particularly Civil Society members) engage in country processes pertaining to the national response
(e.g., National Strategic Planning, National Program Reviews and Prioritization, Development Partner’s Country Operational Planning, etc.)</t>
  </si>
  <si>
    <t>CCM members (particularly CS members) carry out activities to solicit inputs from and provide feedback within their constituencies to contribute to sound decisions.</t>
  </si>
  <si>
    <t>The CCM proactively defines a “strategic positioning” vision to ensure alignment with and/or integration into national structures/coordinating bodies and formal links with donor partner platforms.</t>
  </si>
  <si>
    <t xml:space="preserve">Ensuring buy-in and ownership of the vision by all relevant stakeholders (particularly national government) </t>
  </si>
  <si>
    <t>The CCM aligns its functions and structures with the national response for enhanced harmonization of systems, processes and decision-making for greater impact and efficiencies.</t>
  </si>
  <si>
    <t>Civil society members and communities are proactively represented and engaged in coordination, governance and decision-making bodies and processes beyond the CCM</t>
  </si>
  <si>
    <t xml:space="preserve">CCM ensures ethical decision-making processes are adopted and mainstreamed throughout its operations. 
</t>
  </si>
  <si>
    <t>The CCM Secretariat provides strategic support to the CCM and its structures</t>
  </si>
  <si>
    <t xml:space="preserve">The CCM has appropriate and relevant structures in place, which operate optimally and efficiently 
</t>
  </si>
  <si>
    <t>The CCM’s operations are effectively managed</t>
  </si>
  <si>
    <r>
      <rPr>
        <b/>
        <sz val="10.5"/>
        <color theme="1"/>
        <rFont val="Arial"/>
        <family val="2"/>
      </rPr>
      <t>3</t>
    </r>
    <r>
      <rPr>
        <sz val="10.5"/>
        <color theme="1"/>
        <rFont val="Arial"/>
        <family val="2"/>
      </rPr>
      <t xml:space="preserve"> - The CCM ensures the availability, quality and analysis of information for its discussions with PRs, CTs and other stakeholders. A data/information-driven culture has been embedded. Global Fund investments are proactively assessed against and adjusted to the overall national response based on triangulated strategic information coming from different sources. 
</t>
    </r>
    <r>
      <rPr>
        <b/>
        <sz val="10.5"/>
        <color theme="1"/>
        <rFont val="Arial"/>
        <family val="2"/>
      </rPr>
      <t>2</t>
    </r>
    <r>
      <rPr>
        <sz val="10.5"/>
        <color theme="1"/>
        <rFont val="Arial"/>
        <family val="2"/>
      </rPr>
      <t xml:space="preserve"> - The CCM ensures the availability, quality and analysis of information for its discussions with PRs, CTs and other stakeholders. Regular CCM data-based discussions and decisions inform key GF processes (e.g., funding request preparation, program revisions, oversight of implementation, etc.) without systematic linkages with the overall health response. 
</t>
    </r>
    <r>
      <rPr>
        <b/>
        <sz val="10.5"/>
        <color theme="1"/>
        <rFont val="Arial"/>
        <family val="2"/>
      </rPr>
      <t>1</t>
    </r>
    <r>
      <rPr>
        <sz val="10.5"/>
        <color theme="1"/>
        <rFont val="Arial"/>
        <family val="2"/>
      </rPr>
      <t xml:space="preserve"> - CCM discussions and decision-making are not always supported by strategic information and these do not always seek alignment of Global Fund investments with other programs. There is still a window of opportunity to improve grant-related data quality and analysis.
</t>
    </r>
    <r>
      <rPr>
        <b/>
        <sz val="10.5"/>
        <color theme="1"/>
        <rFont val="Arial"/>
        <family val="2"/>
      </rPr>
      <t>0</t>
    </r>
    <r>
      <rPr>
        <sz val="10.5"/>
        <color theme="1"/>
        <rFont val="Arial"/>
        <family val="2"/>
      </rPr>
      <t xml:space="preserve"> - CCM discussions and decision-making are not supported by strategic information.</t>
    </r>
  </si>
  <si>
    <r>
      <rPr>
        <b/>
        <sz val="10.5"/>
        <color theme="1"/>
        <rFont val="Arial"/>
        <family val="2"/>
      </rPr>
      <t>3</t>
    </r>
    <r>
      <rPr>
        <sz val="10.5"/>
        <color theme="1"/>
        <rFont val="Arial"/>
        <family val="2"/>
      </rPr>
      <t xml:space="preserve"> - CCMs are leading country portfolio risk identification and are actively contributing in mitigation of national disease program strategic risks. CCMs also demonstrate an ability to provide reliable assurance to the Global Fund.
</t>
    </r>
    <r>
      <rPr>
        <b/>
        <sz val="10.5"/>
        <color theme="1"/>
        <rFont val="Arial"/>
        <family val="2"/>
      </rPr>
      <t>2</t>
    </r>
    <r>
      <rPr>
        <sz val="10.5"/>
        <color theme="1"/>
        <rFont val="Arial"/>
        <family val="2"/>
      </rPr>
      <t xml:space="preserve"> - CCMs are proactively managing grant-related risks and providing guidance to implementers to ensure that risk management activities (identification, prioritization and mitigation) are carried out for the portfolio. CCMs ensure that PRs are managing grant related risks on an ongoing basis. . In countries classified as High Impact or Core, CCMs participate in Risk and Assurance Workshops  and identify 3-5 key portfolio risks for follow up by relevant CCM committees. 
</t>
    </r>
    <r>
      <rPr>
        <b/>
        <sz val="10.5"/>
        <color theme="1"/>
        <rFont val="Arial"/>
        <family val="2"/>
      </rPr>
      <t>1</t>
    </r>
    <r>
      <rPr>
        <sz val="10.5"/>
        <color theme="1"/>
        <rFont val="Arial"/>
        <family val="2"/>
      </rPr>
      <t xml:space="preserve"> - CCMs have integrated certain aspects of risk identification, prioritization, mitigation in their oversight function.
</t>
    </r>
    <r>
      <rPr>
        <b/>
        <sz val="10.5"/>
        <color theme="1"/>
        <rFont val="Arial"/>
        <family val="2"/>
      </rPr>
      <t>0</t>
    </r>
    <r>
      <rPr>
        <sz val="10.5"/>
        <color theme="1"/>
        <rFont val="Arial"/>
        <family val="2"/>
      </rPr>
      <t xml:space="preserve"> - CCMs (particularly in High Impact and Core contexts) have been sensitized to Risk Management but have not integrated any aspects of risk identification, prioritization, mitigation, monitoring and assurance in their oversight strategy. </t>
    </r>
  </si>
  <si>
    <r>
      <rPr>
        <b/>
        <sz val="10.5"/>
        <color theme="1"/>
        <rFont val="Arial"/>
        <family val="2"/>
      </rPr>
      <t xml:space="preserve">3 </t>
    </r>
    <r>
      <rPr>
        <sz val="10.5"/>
        <color theme="1"/>
        <rFont val="Arial"/>
        <family val="2"/>
      </rPr>
      <t xml:space="preserve">- CCMs proactively and successfully collect information in order to track, advocate for and support the realization of co-financing commitments. The status of co-financing commitments is discussed at least twice/year during oversight committee and CCM meetings. The CCM supports follow up and reporting of materialized commitments during grant implementation (as indicated in the Co-financing Operational Policy Note) using relevant data, tools and processes. 
</t>
    </r>
    <r>
      <rPr>
        <b/>
        <sz val="10.5"/>
        <color theme="1"/>
        <rFont val="Arial"/>
        <family val="2"/>
      </rPr>
      <t>2</t>
    </r>
    <r>
      <rPr>
        <sz val="10.5"/>
        <color theme="1"/>
        <rFont val="Arial"/>
        <family val="2"/>
      </rPr>
      <t xml:space="preserve"> - Co-financing commitments are known and their status is discussed at least twice/year during oversight committee and CCM meetings. Information related to the materialization of co-financing commitments is actively sought by the CCM and tracked through available tools (where these exist).
</t>
    </r>
    <r>
      <rPr>
        <b/>
        <sz val="10.5"/>
        <color theme="1"/>
        <rFont val="Arial"/>
        <family val="2"/>
      </rPr>
      <t>1</t>
    </r>
    <r>
      <rPr>
        <sz val="10.5"/>
        <color theme="1"/>
        <rFont val="Arial"/>
        <family val="2"/>
      </rPr>
      <t xml:space="preserve"> - Co-financing commitments are known by the CCM but are sporadically discussed during oversight committee or CCM meetings. Information related to the materialization of co-financing commitments is not actively sought by the CCM. 
</t>
    </r>
    <r>
      <rPr>
        <b/>
        <sz val="10.5"/>
        <color theme="1"/>
        <rFont val="Arial"/>
        <family val="2"/>
      </rPr>
      <t>0</t>
    </r>
    <r>
      <rPr>
        <sz val="10.5"/>
        <color theme="1"/>
        <rFont val="Arial"/>
        <family val="2"/>
      </rPr>
      <t xml:space="preserve"> - The CCM is not sufficiently aware of co-financing commitments, nor has it sought further information on their realization.</t>
    </r>
  </si>
  <si>
    <r>
      <rPr>
        <b/>
        <sz val="10.5"/>
        <color theme="1"/>
        <rFont val="Arial"/>
        <family val="2"/>
      </rPr>
      <t>3</t>
    </r>
    <r>
      <rPr>
        <sz val="10.5"/>
        <color theme="1"/>
        <rFont val="Arial"/>
        <family val="2"/>
      </rPr>
      <t xml:space="preserve"> - CCM members are selected/elected through ethical, well-documented and widely-published processes that are guided by and aligned to the nature of GF investments and national priorities. Civil Society (CS) constituencies conduct consultations and mobilization of relevant CS groups (PLWDs, Key affected and vulnerable populations, etc.) leading up to the elections. 
</t>
    </r>
    <r>
      <rPr>
        <b/>
        <sz val="10.5"/>
        <color theme="1"/>
        <rFont val="Arial"/>
        <family val="2"/>
      </rPr>
      <t>2</t>
    </r>
    <r>
      <rPr>
        <sz val="10.5"/>
        <color theme="1"/>
        <rFont val="Arial"/>
        <family val="2"/>
      </rPr>
      <t xml:space="preserve"> – CCM members are selected/elected through documented processes that are partially aligned to GF grants and national priorities (i.e. involvement of key relevant ministries). CS sector members are elected through an open, transparent and documented process following comprehensive consultations and mobilization of relevant CS groups (PLWDs, Key affected and vulnerable populations, etc.) leading up to the elections. Member selection for other sectors is based on each constituency's self-governed documented processes.   
</t>
    </r>
    <r>
      <rPr>
        <b/>
        <sz val="10.5"/>
        <color theme="1"/>
        <rFont val="Arial"/>
        <family val="2"/>
      </rPr>
      <t>1</t>
    </r>
    <r>
      <rPr>
        <sz val="10.5"/>
        <color theme="1"/>
        <rFont val="Arial"/>
        <family val="2"/>
      </rPr>
      <t xml:space="preserve"> - CCM members are selected/elected based on self-governed processes that are documented but not geared towards a CCM composition aligned to the grants and national priorities. Some level of consultations and mobilization of relevant CS groups (PLWDs, Key affected and vulnerable populations, etc.) leading to the elections has taken place.
</t>
    </r>
    <r>
      <rPr>
        <b/>
        <sz val="10.5"/>
        <color theme="1"/>
        <rFont val="Arial"/>
        <family val="2"/>
      </rPr>
      <t>0</t>
    </r>
    <r>
      <rPr>
        <sz val="10.5"/>
        <color theme="1"/>
        <rFont val="Arial"/>
        <family val="2"/>
      </rPr>
      <t xml:space="preserve"> - The CCM members are selected/elected through adhoc and non-documented processes. No evidence of appropriate (coverage and timeframe) consultations and mobilization of relevant CS groups (PLWDs, Key affected and vulnerable populations, etc.) leading to the elections.</t>
    </r>
  </si>
  <si>
    <r>
      <rPr>
        <b/>
        <sz val="10.5"/>
        <color theme="1"/>
        <rFont val="Arial"/>
        <family val="2"/>
      </rPr>
      <t xml:space="preserve">3 </t>
    </r>
    <r>
      <rPr>
        <sz val="10.5"/>
        <color theme="1"/>
        <rFont val="Arial"/>
        <family val="2"/>
      </rPr>
      <t xml:space="preserve">- Voices of CCM constituencies’ representatives  (particularly civil society and communities) are amplified in health and other relevant sectors’ governance, leadership and coordination spaces. This participation is documented, systematic, goes beyond attendance and involves information sharing with the CCM.
</t>
    </r>
    <r>
      <rPr>
        <b/>
        <sz val="10.5"/>
        <color theme="1"/>
        <rFont val="Arial"/>
        <family val="2"/>
      </rPr>
      <t>2</t>
    </r>
    <r>
      <rPr>
        <sz val="10.5"/>
        <color theme="1"/>
        <rFont val="Arial"/>
        <family val="2"/>
      </rPr>
      <t xml:space="preserve"> -  Representatives of CCM constituencies prepare and actively participate in country processes supporting the national health response and this participation is documented and systematic.
</t>
    </r>
    <r>
      <rPr>
        <b/>
        <sz val="10.5"/>
        <color theme="1"/>
        <rFont val="Arial"/>
        <family val="2"/>
      </rPr>
      <t>1</t>
    </r>
    <r>
      <rPr>
        <sz val="10.5"/>
        <color theme="1"/>
        <rFont val="Arial"/>
        <family val="2"/>
      </rPr>
      <t xml:space="preserve"> -  Representatives of CCM constituencies participate in country processes supporting the national health response, but this participation is not documented nor systematic.
</t>
    </r>
    <r>
      <rPr>
        <b/>
        <sz val="10.5"/>
        <color theme="1"/>
        <rFont val="Arial"/>
        <family val="2"/>
      </rPr>
      <t>0</t>
    </r>
    <r>
      <rPr>
        <sz val="10.5"/>
        <color theme="1"/>
        <rFont val="Arial"/>
        <family val="2"/>
      </rPr>
      <t xml:space="preserve"> - Representatives of CCM constituencies only participate in CCM meetings.</t>
    </r>
  </si>
  <si>
    <r>
      <rPr>
        <b/>
        <sz val="10.5"/>
        <color theme="1"/>
        <rFont val="Arial"/>
        <family val="2"/>
      </rPr>
      <t>3</t>
    </r>
    <r>
      <rPr>
        <sz val="10.5"/>
        <color theme="1"/>
        <rFont val="Arial"/>
        <family val="2"/>
      </rPr>
      <t xml:space="preserve"> - All relevant stakeholders proactively engage around an agreed [re]positioning vision and there is formal consensus among all parties. Roles and responsibilities of each party are clearly defined and agreed on. 
</t>
    </r>
    <r>
      <rPr>
        <b/>
        <sz val="10.5"/>
        <color theme="1"/>
        <rFont val="Arial"/>
        <family val="2"/>
      </rPr>
      <t>2</t>
    </r>
    <r>
      <rPr>
        <sz val="10.5"/>
        <color theme="1"/>
        <rFont val="Arial"/>
        <family val="2"/>
      </rPr>
      <t xml:space="preserve"> - All relevant stakeholders proactively engage around an agreed [re]positioning vision and there is formal consensus among all parties. Roles and responsibilities of each party have been partially defined and agreed upon.
</t>
    </r>
    <r>
      <rPr>
        <b/>
        <sz val="10.5"/>
        <color theme="1"/>
        <rFont val="Arial"/>
        <family val="2"/>
      </rPr>
      <t>1</t>
    </r>
    <r>
      <rPr>
        <sz val="10.5"/>
        <color theme="1"/>
        <rFont val="Arial"/>
        <family val="2"/>
      </rPr>
      <t xml:space="preserve"> - The strategic positioning vision has been communicated to certain relevant parties. Consensus building is still needed. 
</t>
    </r>
    <r>
      <rPr>
        <b/>
        <sz val="10.5"/>
        <color theme="1"/>
        <rFont val="Arial"/>
        <family val="2"/>
      </rPr>
      <t xml:space="preserve">0 </t>
    </r>
    <r>
      <rPr>
        <sz val="10.5"/>
        <color theme="1"/>
        <rFont val="Arial"/>
        <family val="2"/>
      </rPr>
      <t xml:space="preserve">-The strategic positioning vision has not been defined or has not been communicated to any relevant parties and there is no consensus on the way forward. </t>
    </r>
  </si>
  <si>
    <r>
      <rPr>
        <b/>
        <sz val="10.5"/>
        <color theme="1"/>
        <rFont val="Arial"/>
        <family val="2"/>
      </rPr>
      <t xml:space="preserve">
3</t>
    </r>
    <r>
      <rPr>
        <sz val="10.5"/>
        <color theme="1"/>
        <rFont val="Arial"/>
        <family val="2"/>
      </rPr>
      <t xml:space="preserve"> -  CCM operations (functions and structures) are purposefully structured and implemented to ensure alignment and efficiencies within the national health response, reducing duplication and working towards full integration.
</t>
    </r>
    <r>
      <rPr>
        <b/>
        <sz val="10.5"/>
        <color theme="1"/>
        <rFont val="Arial"/>
        <family val="2"/>
      </rPr>
      <t>2</t>
    </r>
    <r>
      <rPr>
        <sz val="10.5"/>
        <color theme="1"/>
        <rFont val="Arial"/>
        <family val="2"/>
      </rPr>
      <t xml:space="preserve"> -  CCM operations (functions and structures) are organized and are efficiently implemented. In addition, they have been recently aligned with broader national processes. 
</t>
    </r>
    <r>
      <rPr>
        <b/>
        <sz val="10.5"/>
        <color theme="1"/>
        <rFont val="Arial"/>
        <family val="2"/>
      </rPr>
      <t>1</t>
    </r>
    <r>
      <rPr>
        <sz val="10.5"/>
        <color theme="1"/>
        <rFont val="Arial"/>
        <family val="2"/>
      </rPr>
      <t xml:space="preserve"> -  CCM operations (functions and structures) are organized. In addition to focusing on GF-related activities, they are partially aligned with broader national processes.
</t>
    </r>
    <r>
      <rPr>
        <b/>
        <sz val="10.5"/>
        <color theme="1"/>
        <rFont val="Arial"/>
        <family val="2"/>
      </rPr>
      <t xml:space="preserve">0 </t>
    </r>
    <r>
      <rPr>
        <sz val="10.5"/>
        <color theme="1"/>
        <rFont val="Arial"/>
        <family val="2"/>
      </rPr>
      <t>- CCM operations (functions and structures) are not fully organized and are only GF-focused.</t>
    </r>
  </si>
  <si>
    <r>
      <rPr>
        <b/>
        <sz val="10.5"/>
        <color theme="1"/>
        <rFont val="Arial"/>
        <family val="2"/>
      </rPr>
      <t>3</t>
    </r>
    <r>
      <rPr>
        <sz val="10.5"/>
        <color theme="1"/>
        <rFont val="Arial"/>
        <family val="2"/>
      </rPr>
      <t xml:space="preserve"> - The national civil society (particularly communities) is engaged in all relevant coordination and decision-making bodies and their voice is amplified in health sector governance and leadership spaces. The CCM has made efforts to ensure that civil society representation persists even after the end of Global Fund investments.
</t>
    </r>
    <r>
      <rPr>
        <b/>
        <sz val="10.5"/>
        <color theme="1"/>
        <rFont val="Arial"/>
        <family val="2"/>
      </rPr>
      <t>2</t>
    </r>
    <r>
      <rPr>
        <sz val="10.5"/>
        <color theme="1"/>
        <rFont val="Arial"/>
        <family val="2"/>
      </rPr>
      <t xml:space="preserve"> - Civil society (particularly communities) actively engages in several national coordination and decision-making bodies. Additional efforts are needed to amplify their voices in these spaces.
</t>
    </r>
    <r>
      <rPr>
        <b/>
        <sz val="10.5"/>
        <color theme="1"/>
        <rFont val="Arial"/>
        <family val="2"/>
      </rPr>
      <t>1</t>
    </r>
    <r>
      <rPr>
        <sz val="10.5"/>
        <color theme="1"/>
        <rFont val="Arial"/>
        <family val="2"/>
      </rPr>
      <t xml:space="preserve"> - Civil society (particularly communities) representatives engage actively in GF processes.
</t>
    </r>
    <r>
      <rPr>
        <b/>
        <sz val="10.5"/>
        <color theme="1"/>
        <rFont val="Arial"/>
        <family val="2"/>
      </rPr>
      <t xml:space="preserve">
0</t>
    </r>
    <r>
      <rPr>
        <sz val="10.5"/>
        <color theme="1"/>
        <rFont val="Arial"/>
        <family val="2"/>
      </rPr>
      <t xml:space="preserve"> -Engagement and participation of civil society (particularly communities) in GF processes is limited. </t>
    </r>
  </si>
  <si>
    <r>
      <rPr>
        <b/>
        <sz val="10.5"/>
        <color theme="1"/>
        <rFont val="Arial"/>
        <family val="2"/>
      </rPr>
      <t>3</t>
    </r>
    <r>
      <rPr>
        <sz val="10.5"/>
        <color theme="1"/>
        <rFont val="Arial"/>
        <family val="2"/>
      </rPr>
      <t xml:space="preserve"> - The CCM fosters a respectful and inclusive environment where active and effective contributions by all members are sought and considered. All decisions are made in a transparent and equitable manner according to the CCM’s clearly documented processes. Decisions are based on triangulated data (from multiple sources) and aim for maximum efficiencies of the GF investments as well as National Health Programmes.  The CCM Code of Conduct has been adopted, CCM members have received training on it and consistently apply its provisions to their governance processes. 
</t>
    </r>
    <r>
      <rPr>
        <b/>
        <sz val="10.5"/>
        <color theme="1"/>
        <rFont val="Arial"/>
        <family val="2"/>
      </rPr>
      <t>2</t>
    </r>
    <r>
      <rPr>
        <sz val="10.5"/>
        <color theme="1"/>
        <rFont val="Arial"/>
        <family val="2"/>
      </rPr>
      <t xml:space="preserve"> - The CCM fosters a respectful and inclusive environment where active and effective contributions by all members are sought and considered. Decisions are made in a transparent and equitable manner according to the CCM’s clearly documented processes. Decisions are based on information (not always triangulated) and aim for maximum efficiencies of the GF investments. The CCM Code of Conduct has been adopted, members have been sensitized about it and is frequently used as a guiding document. 
</t>
    </r>
    <r>
      <rPr>
        <b/>
        <sz val="10.5"/>
        <color theme="1"/>
        <rFont val="Arial"/>
        <family val="2"/>
      </rPr>
      <t>1</t>
    </r>
    <r>
      <rPr>
        <sz val="10.5"/>
        <color theme="1"/>
        <rFont val="Arial"/>
        <family val="2"/>
      </rPr>
      <t xml:space="preserve"> - The CCM has clearly documented decision-making processes in place. The processes are observed and applied most of the time. Not all decisions take on board all members input. The CCM Code of Conduct has been adopted and members have been sensitized. 
</t>
    </r>
    <r>
      <rPr>
        <b/>
        <sz val="10.5"/>
        <color theme="1"/>
        <rFont val="Arial"/>
        <family val="2"/>
      </rPr>
      <t>0</t>
    </r>
    <r>
      <rPr>
        <sz val="10.5"/>
        <color theme="1"/>
        <rFont val="Arial"/>
        <family val="2"/>
      </rPr>
      <t xml:space="preserve"> - The CCM does not have clearly documented decision-making processes. These processes focus on meeting compliance requirements rather than effectiveness of CCM operations and the application of governance principles. The CCM Code of Conduct has not been adopted and members have not been made aware of it.</t>
    </r>
  </si>
  <si>
    <r>
      <rPr>
        <b/>
        <sz val="10.5"/>
        <color theme="1"/>
        <rFont val="Arial"/>
        <family val="2"/>
      </rPr>
      <t>3</t>
    </r>
    <r>
      <rPr>
        <sz val="10.5"/>
        <color theme="1"/>
        <rFont val="Arial"/>
        <family val="2"/>
      </rPr>
      <t xml:space="preserve"> - The CCM Secretariat provides strategic support to the CCM leadership and other core committees to fulfil their functions, ensure the observance of governance and ethical principles and to civil society representatives for enhanced engagement. The CCM Secretariat supports data-driven dialogue and decision making amongst all stakeholders. The secretariat also contributes to identifying and harnessing opportunities for collaboration and alignment aimed at strategic positioning of the CCM. In addition, the CCM secretariat proactively leads and facilitates members’ skills building and induction activities whenever appropriate, throughout the grant life cycle. 
</t>
    </r>
    <r>
      <rPr>
        <b/>
        <sz val="10.5"/>
        <color theme="1"/>
        <rFont val="Arial"/>
        <family val="2"/>
      </rPr>
      <t>2</t>
    </r>
    <r>
      <rPr>
        <sz val="10.5"/>
        <color theme="1"/>
        <rFont val="Arial"/>
        <family val="2"/>
      </rPr>
      <t xml:space="preserve"> - The CCM Secretariat provides administrative and strategic support to the CCM and its committees -particularly the oversight committee - and provides the necessary information and advice to members and CCM leadership for effective decision-making. The CCM secretariat leads and facilitates members’ skills building and induction activities on annual basis and after membership renewal.
</t>
    </r>
    <r>
      <rPr>
        <b/>
        <sz val="10.5"/>
        <color theme="1"/>
        <rFont val="Arial"/>
        <family val="2"/>
      </rPr>
      <t>1</t>
    </r>
    <r>
      <rPr>
        <sz val="10.5"/>
        <color theme="1"/>
        <rFont val="Arial"/>
        <family val="2"/>
      </rPr>
      <t xml:space="preserve"> -  The CCM Secretariat mostly provides administrative support to the CCM and its committees and makes efforts to ensure that governance policies and procedures are followed. Communication with members is frequent. Members’ skills building and induction activities for members are partially structured and planned.  
</t>
    </r>
    <r>
      <rPr>
        <b/>
        <sz val="10.5"/>
        <color theme="1"/>
        <rFont val="Arial"/>
        <family val="2"/>
      </rPr>
      <t>0</t>
    </r>
    <r>
      <rPr>
        <sz val="10.5"/>
        <color theme="1"/>
        <rFont val="Arial"/>
        <family val="2"/>
      </rPr>
      <t xml:space="preserve"> - The CCM Secretariat is not fully organized/in place. </t>
    </r>
  </si>
  <si>
    <r>
      <rPr>
        <b/>
        <sz val="10.5"/>
        <color theme="1"/>
        <rFont val="Arial"/>
        <family val="2"/>
      </rPr>
      <t>3</t>
    </r>
    <r>
      <rPr>
        <sz val="10.5"/>
        <color theme="1"/>
        <rFont val="Arial"/>
        <family val="2"/>
      </rPr>
      <t xml:space="preserve"> - The CCM committees' mandate and operations are purposefully structured to ensure alignment with GF grants and the national context, reducing duplication and working towards full integration. Committees develop sound recommendations - based on thorough investigations and evidence - to facilitate decision-making. Implementation of recommendations is followed through.
</t>
    </r>
    <r>
      <rPr>
        <b/>
        <sz val="10.5"/>
        <color theme="1"/>
        <rFont val="Arial"/>
        <family val="2"/>
      </rPr>
      <t>2</t>
    </r>
    <r>
      <rPr>
        <sz val="10.5"/>
        <color theme="1"/>
        <rFont val="Arial"/>
        <family val="2"/>
      </rPr>
      <t xml:space="preserve"> - The CCM committees’ mandate is clearly defined and widely shared. The composition is aligned with and supports GF grant priorities. Committees develop sound recommendations - based on thorough investigations and evidence - to facilitate decision-making. Implementation of recommendations is not always followed through.
</t>
    </r>
    <r>
      <rPr>
        <b/>
        <sz val="10.5"/>
        <color theme="1"/>
        <rFont val="Arial"/>
        <family val="2"/>
      </rPr>
      <t>1</t>
    </r>
    <r>
      <rPr>
        <sz val="10.5"/>
        <color theme="1"/>
        <rFont val="Arial"/>
        <family val="2"/>
      </rPr>
      <t xml:space="preserve"> -  The CCM committees’ mandate is clearly defined, but not shared with all members. The committees' composition is designed to respond to and support grant priorities. Committees develop recommendations, though not always based on triangulated data and evidence. Implementation of recommendations is very sporadic or not fully documented.
</t>
    </r>
    <r>
      <rPr>
        <b/>
        <sz val="10.5"/>
        <color theme="1"/>
        <rFont val="Arial"/>
        <family val="2"/>
      </rPr>
      <t>0</t>
    </r>
    <r>
      <rPr>
        <sz val="10.5"/>
        <color theme="1"/>
        <rFont val="Arial"/>
        <family val="2"/>
      </rPr>
      <t xml:space="preserve"> - The existing committees and their composition are not aligned with grant priorities and their mandate is not clearly defined by terms of reference. Committees rarely provide sound recommendations to the CCM.</t>
    </r>
  </si>
  <si>
    <r>
      <rPr>
        <b/>
        <sz val="10.5"/>
        <color theme="1"/>
        <rFont val="Arial"/>
        <family val="2"/>
      </rPr>
      <t>3</t>
    </r>
    <r>
      <rPr>
        <sz val="10.5"/>
        <color theme="1"/>
        <rFont val="Arial"/>
        <family val="2"/>
      </rPr>
      <t xml:space="preserve"> - The oversight function is aligned with GF grant priorities and relevant national programs and the CCM is self-reliant on its implementation. The oversight committee (OC) has attracted (within the CCM and/or co-opted) all relevant set of skills aligned with grant as well as national program priorities (e.g. procurement and supply chain management, Health Systems Strengthening, gender, finance, community experts, etc.) and is aligned with national structures conducting oversight-like activities (e.g., national strategic information committees, national M&amp;E systems, etc.). Program planning, implementation and reviews cycles are conducted jointly, with the aim to enhance synergies and efficiencies. Triangulated strategic information from multiple sources is at the core of decisions. The OC and PRs collaborate and interact systematically to collect and analyze information to address and resolve identified bottlenecks.
</t>
    </r>
    <r>
      <rPr>
        <b/>
        <sz val="10.5"/>
        <color theme="1"/>
        <rFont val="Arial"/>
        <family val="2"/>
      </rPr>
      <t xml:space="preserve">2 </t>
    </r>
    <r>
      <rPr>
        <sz val="10.5"/>
        <color theme="1"/>
        <rFont val="Arial"/>
        <family val="2"/>
      </rPr>
      <t xml:space="preserve">- The oversight function is fully aligned with GF grant priorities only. The oversight committee (OC) has attracted (within the CCM and/or co-opted) all relevant set of skills aligned with grant priorities (e.g. procurement and supply chain management, Health Systems Strengthening, gender, finance, community experts, etc.).  The OC conducts regular oversight activities in alignment with its plan and provides recommendations to the CCM for decision making (based on the available grant strategic information). The CCM and PRs interact to identify bottlenecks, but there is an opportunity to enhance this collaboration. 
</t>
    </r>
    <r>
      <rPr>
        <b/>
        <sz val="10.5"/>
        <color theme="1"/>
        <rFont val="Arial"/>
        <family val="2"/>
      </rPr>
      <t>1</t>
    </r>
    <r>
      <rPr>
        <sz val="10.5"/>
        <color theme="1"/>
        <rFont val="Arial"/>
        <family val="2"/>
      </rPr>
      <t xml:space="preserve"> –The oversight function does not fully align with GF grant priorities. The oversight committee (OC) has not attracted all relevant set of skills aligned with grant priorities. Oversight activities are conducted inconsistently, and OC recommendations are not always followed through. Interactions with PRs are not systematic.  
</t>
    </r>
    <r>
      <rPr>
        <b/>
        <sz val="10.5"/>
        <color theme="1"/>
        <rFont val="Arial"/>
        <family val="2"/>
      </rPr>
      <t>0</t>
    </r>
    <r>
      <rPr>
        <sz val="10.5"/>
        <color theme="1"/>
        <rFont val="Arial"/>
        <family val="2"/>
      </rPr>
      <t xml:space="preserve"> -There is little-to-no consistency between the oversight function (plan, committee and cycle: data collection, analysis and follow up on recommendations) and GF grant priorities. The existing oversight structures and processes are not operational.</t>
    </r>
  </si>
  <si>
    <r>
      <rPr>
        <b/>
        <sz val="10.5"/>
        <color theme="1"/>
        <rFont val="Arial"/>
        <family val="2"/>
      </rPr>
      <t>3</t>
    </r>
    <r>
      <rPr>
        <sz val="10.5"/>
        <color theme="1"/>
        <rFont val="Arial"/>
        <family val="2"/>
      </rPr>
      <t xml:space="preserve"> - There are proactive and ongoing bi-directional consultations between CCM representatives of all sectors and their constituents. These consultations are done using structured and agreed mechanisms.  Constituency meetings (particularly for CS) take place prior to key CCM processes to analyze information, develop positions and identify priorities.
</t>
    </r>
    <r>
      <rPr>
        <b/>
        <sz val="10.5"/>
        <color theme="1"/>
        <rFont val="Arial"/>
        <family val="2"/>
      </rPr>
      <t>2</t>
    </r>
    <r>
      <rPr>
        <sz val="10.5"/>
        <color theme="1"/>
        <rFont val="Arial"/>
        <family val="2"/>
      </rPr>
      <t xml:space="preserve"> - There are proactive and ongoing bi-directional consultations between CCM representatives of all sectors and their constituents. These consultations are done using structured and agreed mechanisms. 
</t>
    </r>
    <r>
      <rPr>
        <b/>
        <sz val="10.5"/>
        <color theme="1"/>
        <rFont val="Arial"/>
        <family val="2"/>
      </rPr>
      <t>1</t>
    </r>
    <r>
      <rPr>
        <sz val="10.5"/>
        <color theme="1"/>
        <rFont val="Arial"/>
        <family val="2"/>
      </rPr>
      <t xml:space="preserve"> - CCM representatives share outcomes of CCM processes with their constituencies. Input prior to meetings is not necessarily sought in a consistent manner through consultations.  
</t>
    </r>
    <r>
      <rPr>
        <b/>
        <sz val="10.5"/>
        <color theme="1"/>
        <rFont val="Arial"/>
        <family val="2"/>
      </rPr>
      <t>0</t>
    </r>
    <r>
      <rPr>
        <sz val="10.5"/>
        <color theme="1"/>
        <rFont val="Arial"/>
        <family val="2"/>
      </rPr>
      <t xml:space="preserve"> - Bi-directional consultations within constituencies are infrequent or non-existent.</t>
    </r>
  </si>
  <si>
    <r>
      <rPr>
        <b/>
        <sz val="10.5"/>
        <color theme="1"/>
        <rFont val="Arial"/>
        <family val="2"/>
      </rPr>
      <t>3</t>
    </r>
    <r>
      <rPr>
        <sz val="10.5"/>
        <color theme="1"/>
        <rFont val="Arial"/>
        <family val="2"/>
      </rPr>
      <t xml:space="preserve"> - The leadership proactively fosters regular and pertinent interactions among all internal and external stakeholders. CCM  members participate and contribute to debates and decision-making processes. CCM meetings are managed effectively, using standard protocols to manage time, ensure quorum, manage potential conflicts of interest, organize participation by members and lead to implementable and documented decisions. Membership (including leadership) renewal  occurs in accordance with  CCM governance documents and procedures. A robust performance management system (in line with Global Fund expectations) of the CCM secretariat is in place and regularly implemented.   
</t>
    </r>
    <r>
      <rPr>
        <b/>
        <sz val="10.5"/>
        <color theme="1"/>
        <rFont val="Arial"/>
        <family val="2"/>
      </rPr>
      <t>2</t>
    </r>
    <r>
      <rPr>
        <sz val="10.5"/>
        <color theme="1"/>
        <rFont val="Arial"/>
        <family val="2"/>
      </rPr>
      <t xml:space="preserve"> - The leadership fosters regular and pertinent interactions amongst internal stakeholders. CCM members participate and contribute to debates and decision-making processes. CCM meetings are managed effectively, using standard protocols to manage time, ensure quorum, manage potential conflicts of interest, organize participation by members and lead to implementable and documented decisions. Membership (including leadership) renewal occurs in accordance with CCM governance documents and procedures. A performance management system of the CCM secretariat (in line with Global Fund expectations) is in place, but is not regularly implemented.
</t>
    </r>
    <r>
      <rPr>
        <b/>
        <sz val="10.5"/>
        <color theme="1"/>
        <rFont val="Arial"/>
        <family val="2"/>
      </rPr>
      <t>1</t>
    </r>
    <r>
      <rPr>
        <sz val="10.5"/>
        <color theme="1"/>
        <rFont val="Arial"/>
        <family val="2"/>
      </rPr>
      <t xml:space="preserve"> - The leadership endeavors to foster interactions amongst CCM stakeholders. Some members participate and actively contribute to discussions and decision-making processes. CCM meetings are managed well, following standard protocols included in governance documents. Membership (including leadership) renewal is infrequent and is not always aligned with the procedures included in governance documents. A performance management system of the CCM secretariat is not in place.   
</t>
    </r>
    <r>
      <rPr>
        <b/>
        <sz val="10.5"/>
        <color theme="1"/>
        <rFont val="Arial"/>
        <family val="2"/>
      </rPr>
      <t>0</t>
    </r>
    <r>
      <rPr>
        <sz val="10.5"/>
        <color theme="1"/>
        <rFont val="Arial"/>
        <family val="2"/>
      </rPr>
      <t xml:space="preserve"> - Few members participate in CCM discussions and decision-making processes. CCM meetings do not follow basic standard protocols. Membership (including leadership) renewal happens on an adhoc basis. The CCM secretariat does not have specific objectives and is not managed by the CCM leadership.</t>
    </r>
  </si>
  <si>
    <t>Graham Smith</t>
  </si>
  <si>
    <t>December</t>
  </si>
  <si>
    <t>The Oversight Committee has been designated as the Evolution Taskforce</t>
  </si>
  <si>
    <r>
      <t>Regular oversight activities in alignment with the oversight plan are evidenced by the existence of the plan (valid for current period), the reports from Oversight Field Visits and the minutes of the Quarterly Oversight Committee Meetings.
Oversight Committee membership alignment is evidenced by the EPA (2019) outcomes and the membership list.</t>
    </r>
    <r>
      <rPr>
        <sz val="10.5"/>
        <color rgb="FFFF0000"/>
        <rFont val="Arial"/>
        <family val="2"/>
      </rPr>
      <t xml:space="preserve">  </t>
    </r>
    <r>
      <rPr>
        <sz val="10.5"/>
        <color theme="1"/>
        <rFont val="Arial"/>
        <family val="2"/>
      </rPr>
      <t xml:space="preserve">84% of individuals completing the CCM Evolution 360 Survey agreed or strongly agreed that Oversight Committee Membership is aligned with grant priorities.
Whilst 72% of individuals completing the CCM Evolution 360 Survey (n=18) agreed or strongly agreed that the Oversight Committee coordinates closely with the PR to address bottlenecks, it appears that, with regard to PR progress updates,  meeting process at OC level is duplicative of meeting process at CCM level; the PR gives the same presentation to each committee.  The critical/analytical distillation of grant performance information, and the development of proposed solutions for presentation to the CCM to decide on, is not really happening at OC level.
The threshold would appear to fall short of level 3 due to the lack of recommendations being made by the OC to the CCM for decision making.  It is clear from meeting minutes that OC is giving technical guidance and advice to PR during OC meetings in the form of comments and feedback (See OC mtg minutes June 2019 for e.g.)  So there is documentary evidence of interactions of a technical nature between the OC and the PR.  What is missing is evidence of follow through on the recommendations being made; whether the advice is taken and what it's effect was, and any formal referral up to CCM from OC for a higher level decision or action.
The implementation of Oversight field visits in accordance with the CCM's annual oversight plan is well-documented by site visit reports and minutes of these reports being presented into the OC/CCM.
The new grant (commencing in 2021) has been reconfigured into a joint investment in health with World Bank that is fully aligned with the country's Health Sector Reform Strategy.  There are ongoing discussions about CCM realignment with this new HANSA project as evidenced by the OC Meeting minutes from Sept 2019 and the CCM meeting minutes from the same month and from February and March 2020.  These discussions have not yet come to a conclusion but are anticipated to bring the CCM into closer alignment with the overall national programme.
</t>
    </r>
  </si>
  <si>
    <r>
      <rPr>
        <sz val="10.5"/>
        <color theme="1"/>
        <rFont val="Arial"/>
        <family val="2"/>
      </rPr>
      <t>As above, the threshold would appear to fall in the vicinity of threshold 2.  
Usually the PR reports on the grants performance to the CCM twice a year, e.g. Semi-annual report (Progress Update - PU) and Annual Report - Progress Update and Disbursement Request - PUDR). This has been disrupted this year due to FR development.  The PU/DR format is used to present grant progress (no dashboards).  OC &amp; CCM Mtgs in June 2019 evidences Performance Letters being presented into OC/CCM but no decisions or actions are documented.
A review of 8 CCM mtg minutes and 5 OC meeting minutes from 2015 to 2020 shows data coming in from risk assessment reports, PU/DRs, oversight field visit reports, regional coordination proposals, draft funding requests, performance letters, Global Fund guidance, and an independent review of the RAI project.  Most of this data would appear to be more grant-orientated than national programme orientated. However, an important link between the national programmes and the CCM/OC are the disease specific taskforces which typically meet before the CCM/OC meetings.  A representative from the taskforces (which are concerned with the national programme as a whole) is invited to give an update to the CCM/OC as required.</t>
    </r>
    <r>
      <rPr>
        <sz val="10.5"/>
        <color rgb="FFFF0000"/>
        <rFont val="Arial"/>
        <family val="2"/>
      </rPr>
      <t xml:space="preserve">
</t>
    </r>
    <r>
      <rPr>
        <sz val="10.5"/>
        <color theme="1"/>
        <rFont val="Arial"/>
        <family val="2"/>
      </rPr>
      <t>78% of individuals completing the CCM Evolution 360 Survey  (n=18) agreed or strongly agreed that OC uses strategic information from different sources.  68% agreed that the CCM uses dashboards or other tools to support evidence-based decisions.</t>
    </r>
    <r>
      <rPr>
        <sz val="10.5"/>
        <color rgb="FFFF0000"/>
        <rFont val="Arial"/>
        <family val="2"/>
      </rPr>
      <t xml:space="preserve"> </t>
    </r>
    <r>
      <rPr>
        <sz val="10.5"/>
        <color theme="1"/>
        <rFont val="Arial"/>
        <family val="2"/>
      </rPr>
      <t xml:space="preserve"> The Secretariat reported that dashboards are not used to present grant progress reports; the PU/DR format is used instead.</t>
    </r>
  </si>
  <si>
    <t>The results of an HSS grant risk assessment were presented into a CCM mtg in Sept 2015. The PR was tasked to share a risk mitigation action plan with the CCM.  A risk assessment of HIV, TB and Malaria grants was presented into a CCM mtg in December 2016.  A risk assessment stakeholder consultation workshop was held in December 2016 with a technical support provider (participant list has been provided.)
A PMU risk management table has been shared by the Secretariat.  However, there does not appear to be any systematic oversight or risk mitigation implementation oversight in the OC or CCM (i.e. updates being regularly presented and discussed.)  The Secretariat has reported (KI interview) that insofar as this does happen it would most likely be at Taskforce level or embedded into the PU/DR report which the PR presents into OC/CCM.  Supporting documentation has been requested to evidence this.
In summary it would appear that there is little evidence of any on-going or systematised risk mitigation action tracking or assurance by OC or CCM.  The oversight of grant risk management has not been formalised and has yet to become a regular part of the Oversight process.  It should be noted that as a Focused Country Lao has not had any Key Risk Matrix shared with country stakeholders by the Country Team.</t>
  </si>
  <si>
    <t>This indicator scores a high 2.
Meeting minutes evidence discussions of co-financing commitments in an OC meeting on 18th February 2020 and in CCM meetings in March, May and September 2020.  The February 2020 OC mtg and May 2020 CCM mtg minutes evidence information relating to commitments being actively sought.  
However, it should be noted that the last 12 months have been a FR development year so much of the co-financing commitment discussion has been in relation to proposal development.
KI interviews revealed active follow up on progress of implementation of co-financing commitments, e.g. during CCM meetings when PR reports on their performance they also have to report on co-financing implementation.  During CCM meetings when PR reports on their performance they also have to report on co-financing implementation.  The CCM Chair is very serious about this issue and repeatedly asks for a status update; not only in CCM meetings but also in internal meetings within the national programme.  The problem is more to do with the availability of the information rather than with the CCM's efforts to obtain it.  Repeated attempts are made but it is very difficult to get a summary report.  
78% of individuals completing the CCM Evolution 360 Survey  (n=18) agreed or strongly agreed that the CCM keeps track of co-financing commitments, 84% agreed that the CCM advocates for the country to meet co-financing commitments</t>
  </si>
  <si>
    <t>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t>
  </si>
  <si>
    <t>CCM sub-sector elections have not taken place since 2016.  At that time they were documented processes and membership is aligned with the grants.  
Renewal was due in 2019, but most sub-sector elections have been on hold pending the outcome of discussions about the future role of the CCM in relation to the HANSA project.  CCM meeting minutes of Sept 2019 show that CCM membership selection was tabled but postponed whilst the MoH Steering Committee discusses the HANSA governance structure.
At the time of writing an election workshop for selection of the reps and alternates for  the CSO, KP and PLWD constituencies has been scheduled for 26th-27th Nov 2020 and an agenda has been shared.  Documentation detailing the results will also be shared when it becomes available.
95% of individuals completing the CCM Evolution 360 Survey  (n=18) agreed or strongly agreed that (a) the CCM has an ideal mix of members that is consistent with the country context and epidemiology and (b) the current CCM composition ensures multi-sectoral representation.
Overall it would seem that processes are in place with the active involvement of constituency members; the recent pause has solely been due to the upcoming change in implementation arrangements.</t>
  </si>
  <si>
    <r>
      <rPr>
        <b/>
        <sz val="10.5"/>
        <color theme="1"/>
        <rFont val="Arial"/>
        <family val="2"/>
      </rPr>
      <t xml:space="preserve">3 </t>
    </r>
    <r>
      <rPr>
        <sz val="10.5"/>
        <color theme="1"/>
        <rFont val="Arial"/>
        <family val="2"/>
      </rPr>
      <t xml:space="preserve">-  Members engage actively in CCM meetings and activities and voice their constituencies' positions. Efforts from the leadership to ensure a balanced participation of each constituency represented in CCM debates and decision-making processes is systematic. All sectors are actively engaged in all key committees (oversight and executive).  CCM constituencies prepare thoroughly for every key GF processes in which they participate and define constituency-specific positions. Attendance surpasses the required quorum at every meeting.
</t>
    </r>
    <r>
      <rPr>
        <b/>
        <sz val="10.5"/>
        <color theme="1"/>
        <rFont val="Arial"/>
        <family val="2"/>
      </rPr>
      <t>2</t>
    </r>
    <r>
      <rPr>
        <sz val="10.5"/>
        <color theme="1"/>
        <rFont val="Arial"/>
        <family val="2"/>
      </rPr>
      <t xml:space="preserve"> - Members engage actively in CCM meetings and activities and voice their constituencies' positions. There are deliberate efforts from the leadership to ensure a balanced participation of each constituency represented in CCM debates and decision-making processes. All sectors are actively engaged at in all key committees (oversight and executive).  CCM constituencies make some efforts to prepare for key GF and national processes in which they participate. Quorum is achieved at every meeting.
</t>
    </r>
    <r>
      <rPr>
        <b/>
        <sz val="10.5"/>
        <color theme="1"/>
        <rFont val="Arial"/>
        <family val="2"/>
      </rPr>
      <t xml:space="preserve">1 </t>
    </r>
    <r>
      <rPr>
        <sz val="10.5"/>
        <color theme="1"/>
        <rFont val="Arial"/>
        <family val="2"/>
      </rPr>
      <t xml:space="preserve">- Members participate in CCM meetings and activities. There are minor efforts from CCM leadership to ensure a balanced participation of each constituency represented in CCM debates and decision-making processes. All sectors are represented in all key committees (oversight and executive).  Quorum is achieved at every meeting.
</t>
    </r>
    <r>
      <rPr>
        <b/>
        <sz val="10.5"/>
        <color theme="1"/>
        <rFont val="Arial"/>
        <family val="2"/>
      </rPr>
      <t>0</t>
    </r>
    <r>
      <rPr>
        <sz val="10.5"/>
        <color theme="1"/>
        <rFont val="Arial"/>
        <family val="2"/>
      </rPr>
      <t xml:space="preserve"> - Members attend in CCM meetings and quorum is achieved regularly. Not all sectors are represented in key committees (oversight and executive) and meeting minutes do not clearly demonstrate a balanced articulation of various constituencies' views.</t>
    </r>
  </si>
  <si>
    <r>
      <t xml:space="preserve">There is appropriate sector representation in both the CCM and the Oversight Committee and the CCM Secretariat reports that achieving a quorum is not usually an issue.
An NPA-KAP-PLWDs Coordinating Committee was formally established in March 2016.  It is comprised of 11 members and 11 alternates with representatives from SW, MSM, IDU, PLHIV.    It was involved in CCM member elections in 2016 and participation in country dialogue for Funding Request development.  French Red Cross funding support for the committee ended in 2017.   Although it was set up to strengthen networking and consultations with KP/PLWDs communities there was a lack of community </t>
    </r>
    <r>
      <rPr>
        <b/>
        <sz val="10.5"/>
        <color theme="1"/>
        <rFont val="Arial"/>
        <family val="2"/>
      </rPr>
      <t>ownership,</t>
    </r>
    <r>
      <rPr>
        <sz val="10.5"/>
        <color theme="1"/>
        <rFont val="Arial"/>
        <family val="2"/>
      </rPr>
      <t xml:space="preserve"> a dependency on French Red Cross, and a lack of coordination for regular pre-CCM meetings. This is evidenced by the review ppt submitted to support Indicator J of 2019 EPA.  
After the support from French Red Cross ended the committee changed its name to the CSO Coordinating Committee.  There is budget in the CCM funding for this committee to meet prior to CCM meetings to develop constituency positions.  However, no meetings have taken place so far this year.  The current Chair of the committee reports that communication and networking by WhatsApp group still happens.  However, it does appear that the ideal of a formalised process of pre and post CCM mtg bi-directional consultation and feedback is not currently actively in place.  The issue appears to be with CSO committee members being too busy with implementation activities.  One key informant felt that community reps tended to be voicing their own views in meetings rather than established constituency positions based on consultation.
The key informant interviews gave mixed views on community representatives participation in CCM meetings.  Some felt there was no particular issue whilst others commented that the CCM is not a space where community people feel comfortable about speaking up in.  This has to do with cultural issues around authority and seniority with the CCM being perceived as a high-level meeting with very senior representation.  One informant felt that community participation was much better in the disease-specific technical taskforce meetings that take place prior to CCMs which are hosted by the national programmes and seen as being not so high-level. Key issues that were mentioned by key informants as obstacles to community participation in CCM meetings were:
-Time constraints
-Language issues (there is simultaneous translation at the CCM meetings but most of the documentation is lengthy, in English and circulated not long before the meeting.)
-Cultural issues of seniority/authority 
There is clear documented evidence of key population/community/civil society providing inputs into the most recent Funding Request development process, e.g. the minutes for OC Mtg Sept 2019 document PLHIV rep making a proposal regarding the structure of the new HANSA project (p2).  Participation of community representatives in oversight field visits is also documented (see Sept 2019).
For threshold it would be fairer to say that this indicator scores somewhere between 1 and 2. There were differences of opinions about this among KI interviewees and within the taskforce.  A key deficit would be around the representation of agreed constituency positions and pre-meeting preparation (see comments on Engagement indicator 4 below.)
89% of individuals completing the CCM Evolution 360 Survey (n=18) agreed or strongly agreed that dialogue in the CCM meetings include participation from all sectors, and 83% agreed CS representatives always participated in CCM decision-making processes offering their technical expertise and inputs.  </t>
    </r>
  </si>
  <si>
    <t xml:space="preserve">According to key informant interviews, many of the CSOs in GF programme are partners of national programme.  So they are also involved in national consultations.  E.g. national programme mid-term review meetings, development of NSP.  This was confirmed by at least 3 of the key informants interviewed.  Some felt the threshold for this was between 2 and 3.  The evidence for this indicator is largely through interviews (including voices representing the CS sector.)  I have been unable to obtain much in the way of written documentation (membership/attendance lists, meeting minutes/reports.)  I have been told that insofar as these do exist they would likely be in Laotian.
One key informant felt that engagement/participation of civil society members was much more active in the disease-specific taskforces convened by the national programmes prior to CCM meetings.  Please note that as far as evidence is concerned these activities are usually documented in the local language.  The role of these taskforces are described in the CCM TOR (p16) where it is clear that they are orientated towards the national programmes as a whole rather than the Global Fund grants and they are designed around the concept of multisectoral collaboration.
</t>
  </si>
  <si>
    <t xml:space="preserve">Whilst there is a mechanism in place to conduct bi-directional consultations with community constituencies (the aforementioned CSO coordinating committee) it has not been able to meet on a regular basis prior to CCM meetings as planned.  No meetings have happened in 2020.  Key informants explained that this was due to the committee members being busy with programme implementation.  This perhaps explains why the 360 survey results recorded the highest level of disagreement for the three questions around members preparedness for meetings, and the holding of pre- and post CCM meeting consultations with constituencies.  33% of individuals completing the CCM Evolution 360 Survey (n=18) disagreed that pre and post CCM constituency meetings occur or that CCM members are well prepared for meetings.  There were, however, still more people agreeing with these questions than disagreeing.  Some interviewees pointed out that there are non-documented consultation mechanisms within KP networks such as via WhatsApp group.  It is hard to judge to what extent these constitute formal bi-directional feedback loops.  Perhaps this threshold is best described as falling between 0 and 1, but in the absence of better documentary evidence it has been ranked at the most basic level.  There are efforts underway to revamp the CS consultation process; it is hoped that the elections held last week are a step towards this. 
</t>
  </si>
  <si>
    <t>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t>
  </si>
  <si>
    <r>
      <rPr>
        <b/>
        <sz val="10.5"/>
        <color theme="1"/>
        <rFont val="Arial"/>
        <family val="2"/>
      </rPr>
      <t>3</t>
    </r>
    <r>
      <rPr>
        <sz val="10.5"/>
        <color theme="1"/>
        <rFont val="Arial"/>
        <family val="2"/>
      </rPr>
      <t xml:space="preserve"> - The CCM co-creates a vision for positioning, alignment and harmonization  with all relevant in-country stakeholders. 
</t>
    </r>
    <r>
      <rPr>
        <b/>
        <sz val="10.5"/>
        <color theme="1"/>
        <rFont val="Arial"/>
        <family val="2"/>
      </rPr>
      <t>2</t>
    </r>
    <r>
      <rPr>
        <sz val="10.5"/>
        <color theme="1"/>
        <rFont val="Arial"/>
        <family val="2"/>
      </rPr>
      <t xml:space="preserve"> - Stakeholders, processes, and systems' coordination opportunities have been identified and the CCM proactively defines a pathway towards an agreed strategic positioning option(s). 
</t>
    </r>
    <r>
      <rPr>
        <b/>
        <sz val="10.5"/>
        <color theme="1"/>
        <rFont val="Arial"/>
        <family val="2"/>
      </rPr>
      <t>1</t>
    </r>
    <r>
      <rPr>
        <sz val="10.5"/>
        <color theme="1"/>
        <rFont val="Arial"/>
        <family val="2"/>
      </rPr>
      <t xml:space="preserve"> - The CCM has conducted a stakeholders’ mapping and strategic landscape scan to inform a responsive strategic positioning vision.
</t>
    </r>
    <r>
      <rPr>
        <b/>
        <sz val="10.5"/>
        <color theme="1"/>
        <rFont val="Arial"/>
        <family val="2"/>
      </rPr>
      <t>0</t>
    </r>
    <r>
      <rPr>
        <sz val="10.5"/>
        <color theme="1"/>
        <rFont val="Arial"/>
        <family val="2"/>
      </rPr>
      <t xml:space="preserve"> -The CCM has not undertaken the process of defining its positioning in relation to the national landscape and lacks visibility in-country.</t>
    </r>
  </si>
  <si>
    <t>The issue of positioning is currently critical for Lao CCM  because of the new implementation arrangements that will be coming in with the new grant starting January 2021.  In the Lao context the GF has opted to pool its resourcing into a Health and Nutrition Services Access (HANSA) project, led and co-financed by World Bank with further co-financing from DFAT.  Improved alignment with national systems is an important part of the rationale for this funding modality.  The issue of the role and position of the CCM in relation to this new project structure has not yet been resolved, but there is ample documentary evidence of it being discussed at both CCM and OC level dating back to September 2019.  The HANSA project has a steering committee which is comprised of government members.  A draft organigram developed for discussion purposes has the CCM linking into this committee but the details of how, and the respective roles of the two committees have not yet been spelt out.
The threshold for this indicator was selected based on the fact that the discussion (of CCM positioning in relation to HANSA) has started and the CCM and OC have had opportunities to input into the discussion.  It is not obvious that a mapping activity would be appropriate in the context given the specificity of the new set up and the inputs from key informant interviews that suggest that the decision is for the ministry to make.
Evidence of the HANSA governance structure being discussed in CCM committees can be found in the mtg minutes for OC mtg, Sept 2019, CCM mtgs Sept 2019, Feb 2020, Mar 2020.  There is currently a Joint virtual mission underway by GF and WB which will also discuss the issue culminating in a report into the CCM mtg upcoming on Dec 7th 2020.
It should be noted that whilst the positioning of the CCM (and its governance function) has yet to be resolved, there has been a broader ongoing process of alignment and harmonization of implementation structures for a number of years (as evidenced by key informant interview with Secretariat.)  This has included merging of PMU staff positions into relevant functional departments (Finance, Coordination and M&amp;E for example,) culminating in the upcoming merging of TB and HIV into a single grant embedded in the HANSA project.
In relation to this indicator the following results from the CCM Evolution 360 Survey are noteworthy:
95% (n=18) agreed or strongly agreed that the CCM discusses alignment with and/or integration into relevant national structures during CCM meetings. This makes sense given the ongoing discussions about the HANSA governance arrangements.
78% (n=18) agreed or strongly agreed that the CCM has sufficient links to donor partner investments.  Alignment with these investments is a major part of rationale for pooling the grant into the HANSA project.
66% (n=18) agreed or strongly agreed that the CCM regularly engages in discussions related to its sustainability and transition beyond the Global Fund, though interestingly 22% disagreed.
In the key informant interviews some concerns were expressed that the new arrangements risk possibly diminishing the CCMs role and with it the participation of civil society in the governance architecture.</t>
  </si>
  <si>
    <t>See comments on previous indicator.  This indicator is hard to score in the current context given that the role/position of the CCM in the new project structure has yet to be decided upon.  There is some hope that the current joint virtual mission by GF and WB  will help move the issue forward towards a decision.  It is anticipated that this will be discussed at the upcoming CCM meeting on 7th December when the mission debriefs.
Key issues that will need to be decided in relation to the new governance are the respective roles of the national project coordination office in the DPC (which sits between the implementation of WB programme and its steering committee) and the CCM.  It has not yet been determined how these two bodies work together in the reporting process prior to submission to the HANSA steering committee
As with the previous indicator there is ample documentary evidence of the HANSA governance arrangements being discussed in CCM and OC meetings.  The general principles of the positioning; alignment, harmonization, integration and sustainability, seem well understood and especially appreciated by the government (as evidenced by KI interview with Secretariat.)</t>
  </si>
  <si>
    <t>This indicator has been scored with reference to the current set up.  It probably falls somewhere between 1 and 2.  The outcomes of the ongoing discussions about the HANSA governance arrangements may have implications for the scoring.  The following has been noted with respect to the current arrangements:
CCM operations are well organised and very efficiently implemented.  They are also aligned - evidence of this is in the national-programme-led disease-specific taskforces (with a focus on the national programmes as a whole and with civil society participation) which link into the CCM and the Oversight Committee.  Also the CCM being Chaired by the Vice Minister for Health.  The disease-specific taskforces have representation on the OC and CCM and can present national programme updates to these committees. 
With regard to this indicator it should be noted that this type of alignment and its intended harmonies, efficiencies and impact are part of the whole rationale for the new pooled funding arrangements, and the government has been a key driver in trying to bring about improved alignment (evidenced by KI interview with Secretariat.)  Furthermore, as noted in response to positioning Indicator 1 above, a general process of alignment and harmonisation of GF implementation structures with national programmes has been underway for several years.  The KI interviews revealed  a strong government commitment to the alignment of donor funded programmes with national structures and suggested that the government has been proactive in persuading donors to align their contributions.</t>
  </si>
  <si>
    <t>See rationale for the third Engagement indicator which covers similar ground.
This indicator falls somewhere between thresholds 1 and 2.  As noted above civil society is represented in the national programme taskforces and one key informant felt that there were more opportunities to voice their views there than at CCM meetings.  The documented missions of these taskforces include promotion of multi-sectoral collaboration in the national response, fostering policy dialogues and formulation of common positions (CCM TOR.)  However, they are not decision-making or governance bodies and given that the second threshold level requires evidence of active engagement in "several" such bodies, this has been scored at 1.
72% of individuals completing the CCM Evolution 360 Survey (n=18) agreed or strongly agreed that there are opportunities in country to maintain the principles of civil-society participation, partnership and transparency beyond GF financing, though a notable 22% disagreed.</t>
  </si>
  <si>
    <t>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t>
  </si>
  <si>
    <t>The Code of Ethical Conduct was first introduced in an OC mtg in Feb 2020.  It was further discussed in the OC mtg of Sept 2020 where an Ethics Focal point was nominated.  The contents of the Code have been reviewed and presented at OC and CCM level.  A CCM meeting on Sept 2020 endorsed the Code, appointed the Ethics focal point and actioned all members to complete the GF's e Learning course on the Code.  CCM Secretariat has indicated that ensuring all members complete the course is a challenge.  It should be noted this is a relatively new development so it is too early to talk about frequency of use and consistent application.
There is good evidence of individuals recusing themselves from discussions where there is COI; for e.g., CCM mtg Mar 2020 (p13) Chair recuses himself from FR endorsement vote, and CCM mtg May 2020 (p9) an involved organisation recuses itself from SR selection vote (RAI grant.)  
100% of individuals completing the CCM Evolution 360 Survey  (n=18) agreed or strongly agreed that conflicts of interest are managed in all CCM activities
78% of individuals completing the CCM Evolution 360 Survey  (n=18) agreed or strongly agreed that CCM members have adopted the Global Fund's Code of Ethical Conduct and know how the provisions of the Code apply to the CCM's governance processes.
73% of individuals completing the CCM Evolution 360 Survey  (n=18) agreed or strongly agreed that the CCM’s Ethics Committee/Focal point is effective in promoting ethical conduct and decision-making in all CCM activities and this is documented in CCM meeting minutes</t>
  </si>
  <si>
    <t>The Secretariat provides a high level of support to the CCM and its structures.  The quality of the administrative support is exemplary as can be seen from the CCM and committee meeting documentation.  The Secretariat is also very proactive in ensuring adherence to policies and procedures.  A good example of this is the follow through on the implementation of the Code of Conduct (see above.)  For lengthier documents such as these the CCM Secretariat provides a summary for presentation into the committee (reported by CCM Secretariat in KI interview.)  
Secretariat also asks taskforce to make ppt summary of PU/DR for presentation into OC/CCM (reported by CCM Secretariat in KI interview.)  
The Secretariat develops solid workplans.  The 360 survey results (see next paragraph) indicate a high level of appreciation for the work of the Secretariat as does the documented secretariat performance appraisal (see CCM mtg minutes February 2020.)
The secretariat leads on ensuring that new members are properly briefed about their role as a CCM member (as per notes on KI interview with Secretariat)
The main gap would be in support for strategic review/analysis of programmatic data coming into the Oversight Committee before it is presented to the committee.  As with many CCM's the data is not coming into the Secretariat from the PR in sufficient time before the OC meeting for there to be any significant analysis and checks performed on it at Secretariat level.  
61% of individuals completing the CCM Evolution 360 Survey (n=18) agreed or strongly agreed that CCM members receive an orientation on their role and CCM core functions at least once a year, but it was notable that 17% said they didn't know and 22% disagreed.  94% (n=18) agreed or strongly agreed that the CCM Secretariat provides technical support to CCM committees to ensure core functions are implemented.  It is possible that there is room for orientations to be more systematically implemented.</t>
  </si>
  <si>
    <t>To date the CCM structure has served well with the CCM itself and the Oversight Committee being the most regularised meeting structures.  There are discussions underway about merging the Resource Mobilisation Committee into the Oversight Committee to reduce meeting load for members and avoid duplication.  The structure of the CCM and its committees, including their mandates/TORs is well described in the CCM TOR.
A Civil Society Coordination Committee (see Engagement indictors above) is not currently able to perform its key function (of agreeing constituency viewpoints for presentation into the CCM) because its members have been too busy with implementation work to meet.
Committee composition is well aligned with both the grant and the national programme and due consideration has been given to membership of affected communities.
Exco meets less frequently at the moment on an as-needs basis.
Threshold-wise this probably falls between 1 and 2.  Committee roles are defined and shared, and composition is aligned.  The weakness is more in the area of lack of documented recommendations coming into the CCM from its subcommittees and then documented decisions being made on these recommendations. It is clear from the documentation that the committees are giving guidance and advice to the implementers.  It is less clear from the documentation whether these is any follow through on this.</t>
  </si>
  <si>
    <t>CCM operations are extremely well documented.  Meetings are properly minuted and decisions documented.  The documents submitted in the 2019 EPA are evidence of this.  Strong efforts are made to mobilise participation and engagement in meetings.
Workplans are updated and there is a new workplan for oversight for the current year with budget.
There is good evidence of a formalised CCM Secretariat appraisal process; see CCM Meeting Minutes February 2020 and Sept 2018 for example, which document the CCM members ranking of Secretariat performance against agreed indicators.
Membership renewal occurs on a three year basis as per CCM TOR but note the 2019 renewal was put on hold due to the need to reconfigure the CCM to align with the HANSA project governance structure.  This decision is documented in the CCM meeting minutes (Sept 2019) For more on this see the comments on the first Engagement indicator above.
100% of individuals completing the CCM Evolution 360 Survey  (n=18) agreed or strongly agreed that CCM members receive information in a timely manner to make informed decisions</t>
  </si>
  <si>
    <t>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t>
  </si>
  <si>
    <t>LAO-CFUND-1906</t>
  </si>
  <si>
    <t xml:space="preserve">The annual Oversight Plan is in place and is being implemented on schedules.  </t>
  </si>
  <si>
    <t>Co-financing has been updated regularly in the OC and CCM plenary meetings which attended by MOF/relevant ministries representatives.</t>
  </si>
  <si>
    <t xml:space="preserve">The CCM Website can be accessed by other health platforms and CCM can access to the MOH database (DHIS2). The CCM representatives participated in the meeting of HANSA program. </t>
  </si>
  <si>
    <t>Only members/alternates from Non-state sectors are SR which have more than 2 seats.</t>
  </si>
  <si>
    <t>All CCM Secretariat staffs and some CCM members are trained on Ethics.</t>
  </si>
  <si>
    <t>Yes: Regularly shares guidance on Global Fund objectives and strategies, provides good support to meetings. Does not perform regular analysis of data for decision making but follows up on CM.</t>
  </si>
  <si>
    <t>CCM Secretariat functions has been evaluated annually by the CCM members during the CCM pleanary meeting.</t>
  </si>
  <si>
    <t>The key documents e.g. CCM TOR, COI policy, Code of Ethical Conduct are provided to the new CCM members thought E-mail. The new CCM members are also requested to sign the COI declaration form and Code of Ethical Conduct compliance declaration forms.</t>
  </si>
  <si>
    <t xml:space="preserve">As CCM has a plan to integrate into HANSA Coordination Committee and then CCM positioning into the Health Sectorwide Coordination Committee, therefore, the update of CCM TOR is pending.  </t>
  </si>
  <si>
    <t xml:space="preserve">The representatives from key vulnaable communities have been engaged in other coordination platfors, beyond the CCM,e.g.CSO-KP-PLWD Coordination Committee.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</si>
</sst>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09]d\-mmm\-yy;@"/>
  </numFmts>
  <fonts count="61"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Arial"/>
      <family val="2"/>
    </font>
    <font>
      <sz val="10"/>
      <name val="Arial"/>
      <family val="2"/>
    </font>
    <font>
      <sz val="9"/>
      <color theme="1"/>
      <name val="Arial"/>
      <family val="2"/>
    </font>
    <font>
      <sz val="11"/>
      <color theme="1"/>
      <name val="Arial"/>
      <family val="2"/>
    </font>
    <font>
      <sz val="12"/>
      <color indexed="8"/>
      <name val="Verdana"/>
      <family val="2"/>
    </font>
    <font>
      <b/>
      <sz val="26"/>
      <color theme="1"/>
      <name val="Arial"/>
      <family val="2"/>
    </font>
    <font>
      <b/>
      <sz val="14"/>
      <color theme="1"/>
      <name val="Arial"/>
      <family val="2"/>
    </font>
    <font>
      <sz val="14"/>
      <color theme="1"/>
      <name val="Arial"/>
      <family val="2"/>
    </font>
    <font>
      <sz val="11"/>
      <color theme="0"/>
      <name val="Arial"/>
      <family val="2"/>
    </font>
    <font>
      <sz val="10"/>
      <color theme="1"/>
      <name val="Arial"/>
      <family val="2"/>
    </font>
    <font>
      <b/>
      <sz val="12"/>
      <color theme="1"/>
      <name val="Arial"/>
      <family val="2"/>
    </font>
    <font>
      <sz val="8"/>
      <name val="Arial"/>
      <family val="2"/>
    </font>
    <font>
      <b/>
      <sz val="16"/>
      <color theme="1"/>
      <name val="Arial"/>
      <family val="2"/>
    </font>
    <font>
      <b/>
      <sz val="10"/>
      <color theme="1"/>
      <name val="Arial"/>
      <family val="2"/>
    </font>
    <font>
      <b/>
      <sz val="11"/>
      <color theme="1"/>
      <name val="Calibri"/>
      <family val="2"/>
    </font>
    <font>
      <i/>
      <u/>
      <sz val="10"/>
      <color theme="1"/>
      <name val="Arial"/>
      <family val="2"/>
    </font>
    <font>
      <u/>
      <sz val="11"/>
      <color theme="10"/>
      <name val="Arial"/>
      <family val="2"/>
    </font>
    <font>
      <b/>
      <sz val="18"/>
      <color theme="1"/>
      <name val="Arial"/>
      <family val="2"/>
    </font>
    <font>
      <b/>
      <sz val="11"/>
      <color rgb="FFFF0000"/>
      <name val="Arial"/>
      <family val="2"/>
    </font>
    <font>
      <sz val="12"/>
      <color theme="1"/>
      <name val="Arial"/>
      <family val="2"/>
    </font>
    <font>
      <b/>
      <sz val="9"/>
      <color theme="1"/>
      <name val="Arial"/>
      <family val="2"/>
    </font>
    <font>
      <sz val="8"/>
      <color theme="1"/>
      <name val="Arial"/>
      <family val="2"/>
    </font>
    <font>
      <sz val="11"/>
      <color rgb="FFFF0000"/>
      <name val="Arial"/>
      <family val="2"/>
    </font>
    <font>
      <b/>
      <sz val="12"/>
      <color rgb="FFFF0000"/>
      <name val="Arial"/>
      <family val="2"/>
    </font>
    <font>
      <sz val="12"/>
      <color theme="0"/>
      <name val="Arial"/>
      <family val="2"/>
    </font>
    <font>
      <i/>
      <sz val="11"/>
      <color theme="0"/>
      <name val="Arial"/>
      <family val="2"/>
    </font>
    <font>
      <b/>
      <sz val="11"/>
      <color theme="0"/>
      <name val="Arial"/>
      <family val="2"/>
    </font>
    <font>
      <sz val="12"/>
      <color rgb="FFFF0000"/>
      <name val="Arial"/>
      <family val="2"/>
    </font>
    <font>
      <b/>
      <i/>
      <sz val="11"/>
      <color theme="1"/>
      <name val="Arial"/>
      <family val="2"/>
    </font>
    <font>
      <b/>
      <i/>
      <sz val="10"/>
      <color theme="1"/>
      <name val="Arial"/>
      <family val="2"/>
    </font>
    <font>
      <b/>
      <i/>
      <sz val="11"/>
      <color rgb="FFFF0000"/>
      <name val="Arial"/>
      <family val="2"/>
    </font>
    <font>
      <b/>
      <i/>
      <sz val="11"/>
      <color theme="0"/>
      <name val="Arial"/>
      <family val="2"/>
    </font>
    <font>
      <sz val="10"/>
      <color theme="0"/>
      <name val="Arial"/>
      <family val="2"/>
    </font>
    <font>
      <b/>
      <u/>
      <sz val="11"/>
      <color theme="10"/>
      <name val="Arial"/>
      <family val="2"/>
    </font>
    <font>
      <b/>
      <sz val="12"/>
      <color theme="3" tint="0.79998168889431442"/>
      <name val="Arial"/>
      <family val="2"/>
    </font>
    <font>
      <b/>
      <sz val="26"/>
      <color theme="0"/>
      <name val="Arial"/>
      <family val="2"/>
    </font>
    <font>
      <strike/>
      <sz val="9"/>
      <color theme="1"/>
      <name val="Arial"/>
      <family val="2"/>
    </font>
    <font>
      <sz val="9"/>
      <color rgb="FF00B050"/>
      <name val="Arial"/>
      <family val="2"/>
    </font>
    <font>
      <sz val="9"/>
      <name val="Arial"/>
      <family val="2"/>
    </font>
    <font>
      <i/>
      <sz val="9"/>
      <color theme="1"/>
      <name val="Arial"/>
      <family val="2"/>
    </font>
    <font>
      <sz val="9"/>
      <color theme="1"/>
      <name val="Calibri"/>
      <family val="2"/>
      <scheme val="minor"/>
    </font>
    <font>
      <b/>
      <sz val="12"/>
      <color theme="0"/>
      <name val="Arial"/>
      <family val="2"/>
    </font>
    <font>
      <b/>
      <sz val="10.5"/>
      <color theme="1"/>
      <name val="Arial"/>
      <family val="2"/>
    </font>
    <font>
      <sz val="10.5"/>
      <name val="Arial"/>
      <family val="2"/>
    </font>
    <font>
      <sz val="20"/>
      <color theme="1"/>
      <name val="Arial"/>
      <family val="2"/>
    </font>
    <font>
      <sz val="10.5"/>
      <color theme="1"/>
      <name val="Arial"/>
      <family val="2"/>
    </font>
    <font>
      <u/>
      <sz val="10.5"/>
      <color theme="10"/>
      <name val="Arial"/>
      <family val="2"/>
    </font>
    <font>
      <b/>
      <sz val="10.5"/>
      <name val="Arial"/>
      <family val="2"/>
    </font>
    <font>
      <b/>
      <sz val="11"/>
      <color theme="1"/>
      <name val="Calibri"/>
      <family val="2"/>
      <scheme val="minor"/>
    </font>
    <font>
      <sz val="10.5"/>
      <color rgb="FFFF0000"/>
      <name val="Arial"/>
      <family val="2"/>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C000"/>
        <bgColor indexed="64"/>
      </patternFill>
    </fill>
    <fill>
      <patternFill patternType="solid">
        <fgColor rgb="FFFFFFCC"/>
        <bgColor indexed="64"/>
      </patternFill>
    </fill>
    <fill>
      <patternFill patternType="solid">
        <fgColor theme="7" tint="0.79998168889431442"/>
        <bgColor indexed="64"/>
      </patternFill>
    </fill>
    <fill>
      <patternFill patternType="solid">
        <fgColor theme="0" tint="-0.14999847407452621"/>
        <bgColor theme="0" tint="-0.14999847407452621"/>
      </patternFill>
    </fill>
    <fill>
      <patternFill patternType="solid">
        <fgColor theme="3" tint="0.79998168889431442"/>
        <bgColor indexed="64"/>
      </patternFill>
    </fill>
    <fill>
      <patternFill patternType="solid">
        <fgColor rgb="FFFFFF00"/>
        <bgColor indexed="64"/>
      </patternFill>
    </fill>
    <fill>
      <patternFill patternType="solid">
        <fgColor theme="3" tint="0.59999389629810485"/>
        <bgColor indexed="64"/>
      </patternFill>
    </fill>
    <fill>
      <patternFill patternType="solid">
        <fgColor rgb="FF92D050"/>
        <bgColor indexed="64"/>
      </patternFill>
    </fill>
    <fill>
      <patternFill patternType="solid">
        <fgColor rgb="FF00B0F0"/>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3"/>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4"/>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right/>
      <top/>
      <bottom style="medium">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auto="1"/>
      </left>
      <right/>
      <top/>
      <bottom/>
      <diagonal/>
    </border>
    <border>
      <left style="thin">
        <color indexed="64"/>
      </left>
      <right/>
      <top/>
      <bottom style="thin">
        <color indexed="64"/>
      </bottom>
      <diagonal/>
    </border>
  </borders>
  <cellStyleXfs count="18">
    <xf numFmtId="0" fontId="0" fillId="0" borderId="0"/>
    <xf numFmtId="0" fontId="12" fillId="0" borderId="0"/>
    <xf numFmtId="0" fontId="10" fillId="0" borderId="0"/>
    <xf numFmtId="0" fontId="9" fillId="0" borderId="0"/>
    <xf numFmtId="0" fontId="8" fillId="0" borderId="0"/>
    <xf numFmtId="0" fontId="15" fillId="0" borderId="0" applyNumberFormat="0" applyFill="0" applyBorder="0" applyProtection="0">
      <alignment vertical="top" wrapText="1"/>
    </xf>
    <xf numFmtId="9" fontId="8"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6" fillId="0" borderId="0"/>
    <xf numFmtId="0" fontId="27" fillId="0" borderId="0" applyNumberFormat="0" applyFill="0" applyBorder="0" applyAlignment="0" applyProtection="0"/>
    <xf numFmtId="9" fontId="14" fillId="0" borderId="0" applyFont="0" applyFill="0" applyBorder="0" applyAlignment="0" applyProtection="0"/>
    <xf numFmtId="0" fontId="5" fillId="0" borderId="0"/>
    <xf numFmtId="0" fontId="4" fillId="0" borderId="0"/>
    <xf numFmtId="0" fontId="3" fillId="0" borderId="0"/>
    <xf numFmtId="0" fontId="2" fillId="0" borderId="0"/>
  </cellStyleXfs>
  <cellXfs count="440">
    <xf numFmtId="0" fontId="0" fillId="0" borderId="0" xfId="0"/>
    <xf numFmtId="0" fontId="14" fillId="3" borderId="0" xfId="4" applyFont="1" applyFill="1" applyAlignment="1" applyProtection="1">
      <alignment vertical="center"/>
      <protection locked="0"/>
    </xf>
    <xf numFmtId="0" fontId="16" fillId="3" borderId="0" xfId="4" applyFont="1" applyFill="1" applyAlignment="1">
      <alignment vertical="center"/>
    </xf>
    <xf numFmtId="0" fontId="16" fillId="3" borderId="0" xfId="4" applyFont="1" applyFill="1" applyAlignment="1" applyProtection="1">
      <alignment vertical="center"/>
      <protection locked="0"/>
    </xf>
    <xf numFmtId="0" fontId="17" fillId="3" borderId="0" xfId="4" applyFont="1" applyFill="1" applyAlignment="1">
      <alignment horizontal="left" vertical="center" wrapText="1"/>
    </xf>
    <xf numFmtId="0" fontId="16" fillId="3" borderId="0" xfId="4" applyFont="1" applyFill="1" applyAlignment="1">
      <alignment horizontal="center" vertical="center"/>
    </xf>
    <xf numFmtId="0" fontId="16" fillId="3" borderId="0" xfId="4" applyFont="1" applyFill="1" applyAlignment="1">
      <alignment horizontal="right" vertical="center"/>
    </xf>
    <xf numFmtId="0" fontId="20" fillId="5" borderId="11" xfId="4" applyFont="1" applyFill="1" applyBorder="1" applyAlignment="1" applyProtection="1">
      <alignment horizontal="left" vertical="center" wrapText="1"/>
      <protection locked="0"/>
    </xf>
    <xf numFmtId="164" fontId="20" fillId="5" borderId="11" xfId="4" applyNumberFormat="1" applyFont="1" applyFill="1" applyBorder="1" applyAlignment="1" applyProtection="1">
      <alignment horizontal="left" vertical="center" wrapText="1"/>
      <protection locked="0"/>
    </xf>
    <xf numFmtId="0" fontId="17" fillId="2" borderId="11" xfId="4" quotePrefix="1" applyFont="1" applyFill="1" applyBorder="1" applyAlignment="1">
      <alignment horizontal="center" vertical="center"/>
    </xf>
    <xf numFmtId="0" fontId="21" fillId="2" borderId="11" xfId="4" quotePrefix="1" applyFont="1" applyFill="1" applyBorder="1" applyAlignment="1">
      <alignment horizontal="center" vertical="center"/>
    </xf>
    <xf numFmtId="0" fontId="21" fillId="3" borderId="0" xfId="4" quotePrefix="1" applyFont="1" applyFill="1" applyAlignment="1">
      <alignment horizontal="left" vertical="center"/>
    </xf>
    <xf numFmtId="0" fontId="28" fillId="3" borderId="0" xfId="4" applyFont="1" applyFill="1" applyAlignment="1">
      <alignment horizontal="center" vertical="center"/>
    </xf>
    <xf numFmtId="0" fontId="11" fillId="3" borderId="11" xfId="0" applyFont="1" applyFill="1" applyBorder="1"/>
    <xf numFmtId="0" fontId="32" fillId="5" borderId="11" xfId="4" applyFont="1" applyFill="1" applyBorder="1" applyAlignment="1" applyProtection="1">
      <alignment horizontal="left" vertical="center" wrapText="1"/>
      <protection locked="0"/>
    </xf>
    <xf numFmtId="0" fontId="11" fillId="3" borderId="0" xfId="0" applyFont="1" applyFill="1"/>
    <xf numFmtId="0" fontId="0" fillId="3" borderId="11" xfId="0" applyFill="1" applyBorder="1"/>
    <xf numFmtId="0" fontId="0" fillId="3" borderId="0" xfId="0" applyFill="1"/>
    <xf numFmtId="164" fontId="0" fillId="3" borderId="11" xfId="0" applyNumberFormat="1" applyFill="1" applyBorder="1"/>
    <xf numFmtId="3" fontId="0" fillId="3" borderId="11" xfId="0" applyNumberFormat="1" applyFill="1" applyBorder="1"/>
    <xf numFmtId="9" fontId="0" fillId="3" borderId="11" xfId="0" applyNumberFormat="1" applyFill="1" applyBorder="1"/>
    <xf numFmtId="0" fontId="20" fillId="5" borderId="1" xfId="4" applyFont="1" applyFill="1" applyBorder="1" applyAlignment="1" applyProtection="1">
      <alignment horizontal="left" vertical="center" wrapText="1"/>
      <protection locked="0"/>
    </xf>
    <xf numFmtId="0" fontId="17" fillId="3" borderId="0" xfId="4" applyFont="1" applyFill="1" applyAlignment="1">
      <alignment vertical="center"/>
    </xf>
    <xf numFmtId="0" fontId="0" fillId="3" borderId="0" xfId="0" applyFill="1" applyProtection="1">
      <protection locked="0"/>
    </xf>
    <xf numFmtId="0" fontId="24" fillId="3" borderId="11" xfId="0" quotePrefix="1" applyFont="1" applyFill="1" applyBorder="1" applyAlignment="1" applyProtection="1">
      <alignment horizontal="center" vertical="center"/>
      <protection locked="0"/>
    </xf>
    <xf numFmtId="0" fontId="14" fillId="3" borderId="0" xfId="4" applyFont="1" applyFill="1" applyAlignment="1">
      <alignment vertical="center"/>
    </xf>
    <xf numFmtId="0" fontId="11" fillId="2" borderId="1" xfId="0" applyFont="1" applyFill="1" applyBorder="1" applyAlignment="1">
      <alignment horizontal="center" vertical="center"/>
    </xf>
    <xf numFmtId="0" fontId="20" fillId="3" borderId="1" xfId="0" applyFont="1" applyFill="1" applyBorder="1" applyAlignment="1">
      <alignment horizontal="center" vertical="center"/>
    </xf>
    <xf numFmtId="0" fontId="20" fillId="3" borderId="1" xfId="0" quotePrefix="1" applyFont="1" applyFill="1" applyBorder="1" applyAlignment="1">
      <alignment horizontal="left" vertical="center"/>
    </xf>
    <xf numFmtId="0" fontId="20" fillId="3" borderId="1" xfId="0" applyFont="1" applyFill="1" applyBorder="1" applyAlignment="1">
      <alignment vertical="center" wrapText="1"/>
    </xf>
    <xf numFmtId="0" fontId="24" fillId="9" borderId="1" xfId="0" quotePrefix="1" applyFont="1" applyFill="1" applyBorder="1" applyAlignment="1">
      <alignment vertical="center"/>
    </xf>
    <xf numFmtId="9" fontId="20" fillId="3" borderId="1" xfId="0" applyNumberFormat="1" applyFont="1" applyFill="1" applyBorder="1" applyAlignment="1">
      <alignment horizontal="center" vertical="center"/>
    </xf>
    <xf numFmtId="0" fontId="24" fillId="11" borderId="1" xfId="0" applyFont="1" applyFill="1" applyBorder="1" applyAlignment="1">
      <alignment vertical="center"/>
    </xf>
    <xf numFmtId="0" fontId="24" fillId="12" borderId="1" xfId="0" applyFont="1" applyFill="1" applyBorder="1" applyAlignment="1">
      <alignment vertical="center"/>
    </xf>
    <xf numFmtId="0" fontId="24" fillId="4" borderId="1" xfId="0" applyFont="1" applyFill="1" applyBorder="1" applyAlignment="1">
      <alignment vertical="center"/>
    </xf>
    <xf numFmtId="0" fontId="19" fillId="3" borderId="0" xfId="0" applyFont="1" applyFill="1"/>
    <xf numFmtId="4" fontId="20" fillId="3" borderId="0" xfId="0" applyNumberFormat="1" applyFont="1" applyFill="1" applyAlignment="1">
      <alignment horizontal="center" vertical="center"/>
    </xf>
    <xf numFmtId="0" fontId="24" fillId="3" borderId="1" xfId="0" quotePrefix="1" applyFont="1" applyFill="1" applyBorder="1" applyAlignment="1">
      <alignment vertical="center" wrapText="1"/>
    </xf>
    <xf numFmtId="0" fontId="18" fillId="3" borderId="0" xfId="4" applyFont="1" applyFill="1" applyAlignment="1">
      <alignment horizontal="left" vertical="center" wrapText="1"/>
    </xf>
    <xf numFmtId="0" fontId="21" fillId="3" borderId="0" xfId="0" applyFont="1" applyFill="1"/>
    <xf numFmtId="1" fontId="0" fillId="3" borderId="0" xfId="13" applyNumberFormat="1" applyFont="1" applyFill="1" applyProtection="1"/>
    <xf numFmtId="0" fontId="34" fillId="3" borderId="0" xfId="0" applyFont="1" applyFill="1"/>
    <xf numFmtId="0" fontId="33" fillId="3" borderId="0" xfId="0" applyFont="1" applyFill="1"/>
    <xf numFmtId="0" fontId="0" fillId="3" borderId="17" xfId="0" applyFill="1" applyBorder="1"/>
    <xf numFmtId="9" fontId="20" fillId="3" borderId="1" xfId="13" applyFont="1" applyFill="1" applyBorder="1" applyAlignment="1" applyProtection="1">
      <alignment horizontal="center" vertical="center" wrapText="1"/>
    </xf>
    <xf numFmtId="0" fontId="20" fillId="3" borderId="16" xfId="0" quotePrefix="1" applyFont="1" applyFill="1" applyBorder="1" applyAlignment="1">
      <alignment horizontal="left" vertical="center" wrapText="1"/>
    </xf>
    <xf numFmtId="9" fontId="0" fillId="3" borderId="0" xfId="13" applyFont="1" applyFill="1" applyProtection="1"/>
    <xf numFmtId="0" fontId="20" fillId="3" borderId="1" xfId="0" quotePrefix="1" applyFont="1" applyFill="1" applyBorder="1" applyAlignment="1">
      <alignment horizontal="left" vertical="center" wrapText="1"/>
    </xf>
    <xf numFmtId="0" fontId="21" fillId="2" borderId="1" xfId="0" applyFont="1" applyFill="1" applyBorder="1" applyAlignment="1">
      <alignment horizontal="center" vertical="center" wrapText="1"/>
    </xf>
    <xf numFmtId="0" fontId="21" fillId="2" borderId="1" xfId="0" quotePrefix="1" applyFont="1" applyFill="1" applyBorder="1" applyAlignment="1">
      <alignment horizontal="center" vertical="center" wrapText="1"/>
    </xf>
    <xf numFmtId="0" fontId="16" fillId="3" borderId="0" xfId="4" applyFont="1" applyFill="1" applyAlignment="1" applyProtection="1">
      <alignment horizontal="right" vertical="center"/>
      <protection locked="0"/>
    </xf>
    <xf numFmtId="0" fontId="0" fillId="3" borderId="0" xfId="0" applyFill="1" applyAlignment="1" applyProtection="1">
      <alignment wrapText="1"/>
      <protection locked="0"/>
    </xf>
    <xf numFmtId="0" fontId="0" fillId="3" borderId="0" xfId="0" applyFill="1" applyAlignment="1" applyProtection="1">
      <alignment horizontal="center" wrapText="1"/>
      <protection locked="0"/>
    </xf>
    <xf numFmtId="0" fontId="13" fillId="6" borderId="5" xfId="0" applyFont="1" applyFill="1" applyBorder="1" applyAlignment="1" applyProtection="1">
      <alignment horizontal="left" vertical="center" wrapText="1"/>
      <protection locked="0"/>
    </xf>
    <xf numFmtId="0" fontId="18" fillId="3" borderId="0" xfId="0" applyFont="1" applyFill="1" applyAlignment="1" applyProtection="1">
      <alignment vertical="center" wrapText="1"/>
      <protection locked="0"/>
    </xf>
    <xf numFmtId="0" fontId="13" fillId="6" borderId="1" xfId="0" applyFont="1" applyFill="1" applyBorder="1" applyAlignment="1" applyProtection="1">
      <alignment horizontal="left" vertical="center" wrapText="1"/>
      <protection locked="0"/>
    </xf>
    <xf numFmtId="0" fontId="0" fillId="3" borderId="10" xfId="0" applyFill="1" applyBorder="1"/>
    <xf numFmtId="0" fontId="0" fillId="3" borderId="0" xfId="0" applyFill="1" applyAlignment="1">
      <alignment wrapText="1"/>
    </xf>
    <xf numFmtId="0" fontId="0" fillId="3" borderId="0" xfId="0" applyFill="1" applyAlignment="1">
      <alignment horizontal="center" wrapText="1"/>
    </xf>
    <xf numFmtId="0" fontId="21" fillId="2" borderId="2" xfId="0" applyFont="1" applyFill="1" applyBorder="1" applyAlignment="1">
      <alignment horizontal="center" vertical="center" wrapText="1"/>
    </xf>
    <xf numFmtId="0" fontId="18" fillId="3" borderId="0" xfId="0" applyFont="1" applyFill="1" applyAlignment="1" applyProtection="1">
      <alignment horizontal="left" vertical="center" wrapText="1"/>
      <protection locked="0"/>
    </xf>
    <xf numFmtId="0" fontId="13" fillId="3" borderId="5" xfId="0" applyFont="1" applyFill="1" applyBorder="1" applyAlignment="1">
      <alignment horizontal="left" vertical="center" wrapText="1"/>
    </xf>
    <xf numFmtId="0" fontId="13" fillId="0" borderId="1" xfId="0" applyFont="1" applyBorder="1" applyAlignment="1">
      <alignment horizontal="left" vertical="center" wrapText="1"/>
    </xf>
    <xf numFmtId="0" fontId="11" fillId="2" borderId="1" xfId="0" quotePrefix="1" applyFont="1" applyFill="1" applyBorder="1" applyAlignment="1">
      <alignment horizontal="center" vertical="center"/>
    </xf>
    <xf numFmtId="9" fontId="35" fillId="3" borderId="0" xfId="0" applyNumberFormat="1" applyFont="1" applyFill="1"/>
    <xf numFmtId="9" fontId="19" fillId="3" borderId="0" xfId="0" applyNumberFormat="1" applyFont="1" applyFill="1"/>
    <xf numFmtId="0" fontId="35" fillId="3" borderId="0" xfId="0" applyFont="1" applyFill="1"/>
    <xf numFmtId="0" fontId="38" fillId="3" borderId="0" xfId="0" applyFont="1" applyFill="1" applyAlignment="1">
      <alignment horizontal="center" vertical="center"/>
    </xf>
    <xf numFmtId="0" fontId="17" fillId="3" borderId="14" xfId="4" applyFont="1" applyFill="1" applyBorder="1" applyAlignment="1">
      <alignment horizontal="left" vertical="center" wrapText="1"/>
    </xf>
    <xf numFmtId="0" fontId="11" fillId="3" borderId="11" xfId="0" quotePrefix="1" applyFont="1" applyFill="1" applyBorder="1" applyAlignment="1">
      <alignment horizontal="left"/>
    </xf>
    <xf numFmtId="0" fontId="24" fillId="3" borderId="1" xfId="0" quotePrefix="1" applyFont="1" applyFill="1" applyBorder="1" applyAlignment="1">
      <alignment horizontal="left" vertical="center" wrapText="1"/>
    </xf>
    <xf numFmtId="0" fontId="35" fillId="3" borderId="0" xfId="0" quotePrefix="1" applyFont="1" applyFill="1" applyAlignment="1">
      <alignment horizontal="left"/>
    </xf>
    <xf numFmtId="1" fontId="20" fillId="3" borderId="5" xfId="0" applyNumberFormat="1" applyFont="1" applyFill="1" applyBorder="1" applyAlignment="1">
      <alignment horizontal="center" vertical="center"/>
    </xf>
    <xf numFmtId="1" fontId="20" fillId="3" borderId="1" xfId="0" applyNumberFormat="1" applyFont="1" applyFill="1" applyBorder="1" applyAlignment="1">
      <alignment horizontal="center" vertical="center"/>
    </xf>
    <xf numFmtId="1" fontId="20" fillId="5" borderId="5" xfId="0" applyNumberFormat="1" applyFont="1" applyFill="1" applyBorder="1" applyAlignment="1" applyProtection="1">
      <alignment horizontal="center" vertical="center"/>
      <protection locked="0"/>
    </xf>
    <xf numFmtId="1" fontId="21" fillId="3" borderId="0" xfId="0" applyNumberFormat="1" applyFont="1" applyFill="1"/>
    <xf numFmtId="1" fontId="21" fillId="3" borderId="0" xfId="4" quotePrefix="1" applyNumberFormat="1" applyFont="1" applyFill="1" applyAlignment="1">
      <alignment horizontal="left" vertical="center"/>
    </xf>
    <xf numFmtId="1" fontId="20" fillId="3" borderId="1" xfId="0" applyNumberFormat="1" applyFont="1" applyFill="1" applyBorder="1" applyAlignment="1">
      <alignment horizontal="left" vertical="center" wrapText="1"/>
    </xf>
    <xf numFmtId="0" fontId="13" fillId="0" borderId="5" xfId="0" applyFont="1" applyBorder="1" applyAlignment="1">
      <alignment horizontal="left" vertical="center" wrapText="1"/>
    </xf>
    <xf numFmtId="0" fontId="0" fillId="0" borderId="0" xfId="0" quotePrefix="1" applyAlignment="1">
      <alignment horizontal="left"/>
    </xf>
    <xf numFmtId="0" fontId="13" fillId="5" borderId="1" xfId="0" applyFont="1" applyFill="1" applyBorder="1" applyAlignment="1" applyProtection="1">
      <alignment vertical="center" wrapText="1"/>
      <protection locked="0"/>
    </xf>
    <xf numFmtId="0" fontId="13" fillId="5" borderId="5" xfId="0" applyFont="1" applyFill="1" applyBorder="1" applyAlignment="1" applyProtection="1">
      <alignment horizontal="left" vertical="center" wrapText="1"/>
      <protection locked="0"/>
    </xf>
    <xf numFmtId="0" fontId="13" fillId="5" borderId="5" xfId="0" quotePrefix="1" applyFont="1" applyFill="1" applyBorder="1" applyAlignment="1" applyProtection="1">
      <alignment horizontal="left" vertical="center" wrapText="1"/>
      <protection locked="0"/>
    </xf>
    <xf numFmtId="0" fontId="13" fillId="3" borderId="0" xfId="0" applyFont="1" applyFill="1" applyProtection="1">
      <protection locked="0"/>
    </xf>
    <xf numFmtId="0" fontId="13" fillId="3" borderId="0" xfId="0" applyFont="1" applyFill="1" applyAlignment="1" applyProtection="1">
      <alignment horizontal="center" wrapText="1"/>
      <protection locked="0"/>
    </xf>
    <xf numFmtId="0" fontId="40" fillId="3" borderId="0" xfId="0" applyFont="1" applyFill="1" applyAlignment="1">
      <alignment horizontal="center" vertical="center" wrapText="1"/>
    </xf>
    <xf numFmtId="0" fontId="37" fillId="16" borderId="1" xfId="0" applyFont="1" applyFill="1" applyBorder="1" applyAlignment="1">
      <alignment horizontal="center" vertical="center" wrapText="1"/>
    </xf>
    <xf numFmtId="0" fontId="21" fillId="8" borderId="0" xfId="4" quotePrefix="1" applyFont="1" applyFill="1" applyAlignment="1">
      <alignment horizontal="left" vertical="center" wrapText="1"/>
    </xf>
    <xf numFmtId="0" fontId="0" fillId="3" borderId="0" xfId="4" applyFont="1" applyFill="1" applyAlignment="1">
      <alignment vertical="center"/>
    </xf>
    <xf numFmtId="0" fontId="0" fillId="3" borderId="0" xfId="0" applyFill="1" applyAlignment="1">
      <alignment horizontal="center" vertical="center"/>
    </xf>
    <xf numFmtId="0" fontId="39" fillId="9" borderId="11" xfId="0" quotePrefix="1" applyFont="1" applyFill="1" applyBorder="1" applyAlignment="1">
      <alignment horizontal="center" vertical="center" wrapText="1"/>
    </xf>
    <xf numFmtId="0" fontId="33" fillId="3" borderId="0" xfId="0" applyFont="1" applyFill="1" applyAlignment="1">
      <alignment vertical="center"/>
    </xf>
    <xf numFmtId="0" fontId="24" fillId="3" borderId="0" xfId="4" applyFont="1" applyFill="1" applyAlignment="1">
      <alignment vertical="center"/>
    </xf>
    <xf numFmtId="0" fontId="41" fillId="0" borderId="0" xfId="0" quotePrefix="1" applyFont="1" applyAlignment="1">
      <alignment horizontal="center" vertical="center"/>
    </xf>
    <xf numFmtId="0" fontId="11" fillId="2" borderId="1" xfId="0" applyFont="1" applyFill="1" applyBorder="1" applyAlignment="1">
      <alignment horizontal="center" vertical="center" wrapText="1"/>
    </xf>
    <xf numFmtId="0" fontId="11" fillId="2" borderId="1" xfId="0" quotePrefix="1" applyFont="1" applyFill="1" applyBorder="1" applyAlignment="1">
      <alignment horizontal="center" vertical="center" wrapText="1"/>
    </xf>
    <xf numFmtId="0" fontId="20" fillId="3" borderId="15" xfId="0" quotePrefix="1" applyFont="1" applyFill="1" applyBorder="1" applyAlignment="1">
      <alignment horizontal="left" vertical="center" wrapText="1"/>
    </xf>
    <xf numFmtId="0" fontId="20" fillId="3" borderId="1" xfId="0" applyFont="1" applyFill="1" applyBorder="1" applyAlignment="1">
      <alignment horizontal="left" vertical="center" wrapText="1"/>
    </xf>
    <xf numFmtId="0" fontId="21" fillId="2" borderId="1" xfId="0" quotePrefix="1" applyFont="1" applyFill="1" applyBorder="1" applyAlignment="1">
      <alignment horizontal="left" vertical="center" wrapText="1"/>
    </xf>
    <xf numFmtId="1" fontId="0" fillId="3" borderId="0" xfId="0" applyNumberFormat="1" applyFill="1"/>
    <xf numFmtId="0" fontId="0" fillId="3" borderId="0" xfId="4" applyFont="1" applyFill="1" applyAlignment="1" applyProtection="1">
      <alignment vertical="center"/>
      <protection locked="0"/>
    </xf>
    <xf numFmtId="1" fontId="0" fillId="3" borderId="0" xfId="4" applyNumberFormat="1" applyFont="1" applyFill="1" applyAlignment="1">
      <alignment vertical="center"/>
    </xf>
    <xf numFmtId="1" fontId="0" fillId="3" borderId="0" xfId="0" applyNumberFormat="1" applyFill="1" applyProtection="1">
      <protection locked="0"/>
    </xf>
    <xf numFmtId="1" fontId="11" fillId="2" borderId="1" xfId="0" quotePrefix="1" applyNumberFormat="1" applyFont="1" applyFill="1" applyBorder="1" applyAlignment="1">
      <alignment horizontal="center" vertical="center" wrapText="1"/>
    </xf>
    <xf numFmtId="0" fontId="13" fillId="5" borderId="1" xfId="0" quotePrefix="1" applyFont="1" applyFill="1" applyBorder="1" applyAlignment="1" applyProtection="1">
      <alignment horizontal="left" vertical="center" wrapText="1"/>
      <protection locked="0"/>
    </xf>
    <xf numFmtId="0" fontId="13" fillId="5" borderId="1" xfId="4" quotePrefix="1" applyFont="1" applyFill="1" applyBorder="1" applyAlignment="1" applyProtection="1">
      <alignment horizontal="left" vertical="center" wrapText="1"/>
      <protection locked="0"/>
    </xf>
    <xf numFmtId="0" fontId="32" fillId="5" borderId="1" xfId="4" quotePrefix="1" applyFont="1" applyFill="1" applyBorder="1" applyAlignment="1" applyProtection="1">
      <alignment horizontal="left" vertical="center" wrapText="1"/>
      <protection locked="0"/>
    </xf>
    <xf numFmtId="0" fontId="21" fillId="2" borderId="11" xfId="0" quotePrefix="1" applyFont="1" applyFill="1" applyBorder="1" applyAlignment="1">
      <alignment horizontal="center" vertical="center"/>
    </xf>
    <xf numFmtId="0" fontId="13" fillId="5" borderId="1" xfId="4" applyFont="1" applyFill="1" applyBorder="1" applyAlignment="1" applyProtection="1">
      <alignment horizontal="left" vertical="center" wrapText="1"/>
      <protection locked="0"/>
    </xf>
    <xf numFmtId="0" fontId="20" fillId="5" borderId="1" xfId="4" quotePrefix="1" applyFont="1" applyFill="1" applyBorder="1" applyAlignment="1" applyProtection="1">
      <alignment horizontal="left" vertical="center" wrapText="1"/>
      <protection locked="0"/>
    </xf>
    <xf numFmtId="164" fontId="20" fillId="5" borderId="1" xfId="4" applyNumberFormat="1" applyFont="1" applyFill="1" applyBorder="1" applyAlignment="1" applyProtection="1">
      <alignment horizontal="left" vertical="center" wrapText="1"/>
      <protection locked="0"/>
    </xf>
    <xf numFmtId="164" fontId="20" fillId="5" borderId="16" xfId="4" applyNumberFormat="1" applyFont="1" applyFill="1" applyBorder="1" applyAlignment="1" applyProtection="1">
      <alignment horizontal="left" vertical="center" wrapText="1"/>
      <protection locked="0"/>
    </xf>
    <xf numFmtId="0" fontId="20" fillId="5" borderId="5" xfId="4" applyFont="1" applyFill="1" applyBorder="1" applyAlignment="1" applyProtection="1">
      <alignment horizontal="left" vertical="center" wrapText="1"/>
      <protection locked="0"/>
    </xf>
    <xf numFmtId="0" fontId="13" fillId="5" borderId="5" xfId="4" applyFont="1" applyFill="1" applyBorder="1" applyAlignment="1" applyProtection="1">
      <alignment horizontal="left" vertical="center" wrapText="1"/>
      <protection locked="0"/>
    </xf>
    <xf numFmtId="0" fontId="23" fillId="3" borderId="0" xfId="0" applyFont="1" applyFill="1" applyAlignment="1">
      <alignment horizontal="center" vertical="center"/>
    </xf>
    <xf numFmtId="0" fontId="0" fillId="3" borderId="3" xfId="0" applyFill="1" applyBorder="1"/>
    <xf numFmtId="0" fontId="19" fillId="3" borderId="0" xfId="0" quotePrefix="1" applyFont="1" applyFill="1" applyAlignment="1">
      <alignment horizontal="left" vertical="center" wrapText="1"/>
    </xf>
    <xf numFmtId="0" fontId="43" fillId="3" borderId="0" xfId="0" applyFont="1" applyFill="1" applyAlignment="1">
      <alignment horizontal="left" vertical="center"/>
    </xf>
    <xf numFmtId="1" fontId="37" fillId="3" borderId="0" xfId="0" applyNumberFormat="1" applyFont="1" applyFill="1"/>
    <xf numFmtId="1" fontId="35" fillId="3" borderId="0" xfId="0" applyNumberFormat="1" applyFont="1" applyFill="1" applyAlignment="1">
      <alignment horizontal="center" vertical="center"/>
    </xf>
    <xf numFmtId="0" fontId="44" fillId="2" borderId="1" xfId="12" applyFont="1" applyFill="1" applyBorder="1" applyAlignment="1" applyProtection="1">
      <alignment horizontal="left" vertical="center" wrapText="1"/>
      <protection locked="0"/>
    </xf>
    <xf numFmtId="0" fontId="34" fillId="3" borderId="0" xfId="0" quotePrefix="1" applyFont="1" applyFill="1" applyAlignment="1">
      <alignment horizontal="left" vertical="center"/>
    </xf>
    <xf numFmtId="0" fontId="28" fillId="3" borderId="0" xfId="4" applyFont="1" applyFill="1" applyAlignment="1">
      <alignment horizontal="right" vertical="center"/>
    </xf>
    <xf numFmtId="0" fontId="45" fillId="8" borderId="8" xfId="4" quotePrefix="1" applyFont="1" applyFill="1" applyBorder="1" applyAlignment="1">
      <alignment vertical="center" wrapText="1"/>
    </xf>
    <xf numFmtId="1" fontId="45" fillId="8" borderId="8" xfId="4" quotePrefix="1" applyNumberFormat="1" applyFont="1" applyFill="1" applyBorder="1" applyAlignment="1">
      <alignment horizontal="left" vertical="center" wrapText="1"/>
    </xf>
    <xf numFmtId="0" fontId="45" fillId="8" borderId="8" xfId="4" quotePrefix="1" applyFont="1" applyFill="1" applyBorder="1" applyAlignment="1">
      <alignment horizontal="left" vertical="center"/>
    </xf>
    <xf numFmtId="0" fontId="45" fillId="8" borderId="9" xfId="4" quotePrefix="1" applyFont="1" applyFill="1" applyBorder="1" applyAlignment="1">
      <alignment horizontal="left" vertical="center"/>
    </xf>
    <xf numFmtId="0" fontId="46" fillId="3" borderId="0" xfId="4" applyFont="1" applyFill="1" applyAlignment="1">
      <alignment horizontal="center" vertical="center"/>
    </xf>
    <xf numFmtId="0" fontId="19" fillId="3" borderId="0" xfId="0" quotePrefix="1" applyFont="1" applyFill="1" applyAlignment="1">
      <alignment horizontal="left"/>
    </xf>
    <xf numFmtId="0" fontId="20" fillId="3" borderId="1" xfId="4" applyFont="1" applyFill="1" applyBorder="1" applyAlignment="1" applyProtection="1">
      <alignment horizontal="left" vertical="center" wrapText="1"/>
      <protection locked="0"/>
    </xf>
    <xf numFmtId="0" fontId="41" fillId="3" borderId="0" xfId="4" applyFont="1" applyFill="1" applyAlignment="1">
      <alignment horizontal="center" vertical="center"/>
    </xf>
    <xf numFmtId="0" fontId="0" fillId="3" borderId="0" xfId="0" quotePrefix="1" applyFill="1" applyAlignment="1">
      <alignment horizontal="left"/>
    </xf>
    <xf numFmtId="0" fontId="21" fillId="3" borderId="0" xfId="4" applyFont="1" applyFill="1" applyAlignment="1">
      <alignment vertical="center"/>
    </xf>
    <xf numFmtId="0" fontId="23" fillId="3" borderId="0" xfId="4" applyFont="1" applyFill="1" applyAlignment="1">
      <alignment horizontal="center" vertical="center"/>
    </xf>
    <xf numFmtId="0" fontId="31" fillId="14" borderId="0" xfId="0" applyFont="1" applyFill="1" applyAlignment="1">
      <alignment wrapText="1"/>
    </xf>
    <xf numFmtId="0" fontId="13" fillId="0" borderId="0" xfId="0" applyFont="1" applyAlignment="1">
      <alignment wrapText="1"/>
    </xf>
    <xf numFmtId="0" fontId="31" fillId="13" borderId="0" xfId="0" quotePrefix="1" applyFont="1" applyFill="1" applyAlignment="1">
      <alignment horizontal="center" wrapText="1"/>
    </xf>
    <xf numFmtId="0" fontId="31" fillId="10" borderId="11" xfId="0" quotePrefix="1" applyFont="1" applyFill="1" applyBorder="1" applyAlignment="1">
      <alignment horizontal="left" vertical="center" wrapText="1"/>
    </xf>
    <xf numFmtId="0" fontId="31" fillId="10" borderId="12" xfId="0" quotePrefix="1" applyFont="1" applyFill="1" applyBorder="1" applyAlignment="1">
      <alignment horizontal="left" wrapText="1"/>
    </xf>
    <xf numFmtId="1" fontId="31" fillId="0" borderId="0" xfId="0" applyNumberFormat="1" applyFont="1" applyAlignment="1">
      <alignment horizontal="left" wrapText="1"/>
    </xf>
    <xf numFmtId="1" fontId="13" fillId="0" borderId="0" xfId="0" applyNumberFormat="1" applyFont="1" applyAlignment="1">
      <alignment horizontal="left" wrapText="1"/>
    </xf>
    <xf numFmtId="0" fontId="31" fillId="10" borderId="12" xfId="0" applyFont="1" applyFill="1" applyBorder="1" applyAlignment="1">
      <alignment wrapText="1"/>
    </xf>
    <xf numFmtId="0" fontId="31" fillId="9" borderId="12" xfId="0" quotePrefix="1" applyFont="1" applyFill="1" applyBorder="1" applyAlignment="1">
      <alignment horizontal="left" wrapText="1"/>
    </xf>
    <xf numFmtId="0" fontId="13" fillId="0" borderId="0" xfId="0" applyFont="1" applyAlignment="1">
      <alignment horizontal="left" wrapText="1"/>
    </xf>
    <xf numFmtId="0" fontId="31" fillId="9" borderId="12" xfId="0" applyFont="1" applyFill="1" applyBorder="1" applyAlignment="1">
      <alignment wrapText="1"/>
    </xf>
    <xf numFmtId="1" fontId="13" fillId="0" borderId="11" xfId="0" quotePrefix="1" applyNumberFormat="1" applyFont="1" applyBorder="1" applyAlignment="1">
      <alignment horizontal="left" wrapText="1"/>
    </xf>
    <xf numFmtId="1" fontId="13" fillId="0" borderId="11" xfId="0" applyNumberFormat="1" applyFont="1" applyBorder="1" applyAlignment="1">
      <alignment horizontal="left" vertical="center" wrapText="1"/>
    </xf>
    <xf numFmtId="1" fontId="13" fillId="0" borderId="0" xfId="0" applyNumberFormat="1" applyFont="1" applyAlignment="1">
      <alignment wrapText="1"/>
    </xf>
    <xf numFmtId="0" fontId="13" fillId="3" borderId="11" xfId="0" quotePrefix="1" applyFont="1" applyFill="1" applyBorder="1" applyAlignment="1">
      <alignment horizontal="left" vertical="center" wrapText="1"/>
    </xf>
    <xf numFmtId="1" fontId="13" fillId="0" borderId="0" xfId="0" applyNumberFormat="1" applyFont="1" applyAlignment="1">
      <alignment horizontal="left" vertical="center" wrapText="1"/>
    </xf>
    <xf numFmtId="0" fontId="13" fillId="0" borderId="11" xfId="0" quotePrefix="1" applyFont="1" applyBorder="1" applyAlignment="1">
      <alignment horizontal="left" vertical="center" wrapText="1"/>
    </xf>
    <xf numFmtId="0" fontId="13" fillId="3" borderId="11" xfId="0" quotePrefix="1" applyFont="1" applyFill="1" applyBorder="1" applyAlignment="1">
      <alignment horizontal="left" wrapText="1"/>
    </xf>
    <xf numFmtId="0" fontId="13" fillId="0" borderId="11" xfId="0" quotePrefix="1" applyFont="1" applyBorder="1" applyAlignment="1">
      <alignment horizontal="left" wrapText="1"/>
    </xf>
    <xf numFmtId="1" fontId="13" fillId="3" borderId="0" xfId="0" applyNumberFormat="1" applyFont="1" applyFill="1" applyAlignment="1">
      <alignment horizontal="left" wrapText="1"/>
    </xf>
    <xf numFmtId="1" fontId="13" fillId="0" borderId="13" xfId="0" applyNumberFormat="1" applyFont="1" applyBorder="1" applyAlignment="1">
      <alignment horizontal="left" vertical="center" wrapText="1"/>
    </xf>
    <xf numFmtId="0" fontId="13" fillId="3" borderId="11" xfId="0" quotePrefix="1" applyFont="1" applyFill="1" applyBorder="1" applyAlignment="1">
      <alignment wrapText="1"/>
    </xf>
    <xf numFmtId="1" fontId="13" fillId="0" borderId="1" xfId="0" applyNumberFormat="1" applyFont="1" applyBorder="1" applyAlignment="1">
      <alignment horizontal="left" vertical="center" wrapText="1"/>
    </xf>
    <xf numFmtId="0" fontId="13" fillId="0" borderId="11" xfId="0" applyFont="1" applyBorder="1" applyAlignment="1">
      <alignment wrapText="1"/>
    </xf>
    <xf numFmtId="0" fontId="13" fillId="0" borderId="8" xfId="0" applyFont="1" applyBorder="1" applyAlignment="1">
      <alignment wrapText="1"/>
    </xf>
    <xf numFmtId="1" fontId="13" fillId="0" borderId="1" xfId="0" applyNumberFormat="1" applyFont="1" applyBorder="1" applyAlignment="1">
      <alignment horizontal="left" wrapText="1"/>
    </xf>
    <xf numFmtId="0" fontId="31" fillId="10" borderId="13" xfId="0" quotePrefix="1" applyFont="1" applyFill="1" applyBorder="1" applyAlignment="1">
      <alignment horizontal="left" wrapText="1"/>
    </xf>
    <xf numFmtId="0" fontId="31" fillId="10" borderId="11" xfId="0" quotePrefix="1" applyFont="1" applyFill="1" applyBorder="1" applyAlignment="1">
      <alignment horizontal="left" wrapText="1"/>
    </xf>
    <xf numFmtId="0" fontId="31" fillId="0" borderId="0" xfId="0" applyFont="1" applyAlignment="1">
      <alignment wrapText="1"/>
    </xf>
    <xf numFmtId="0" fontId="31" fillId="10" borderId="13" xfId="0" quotePrefix="1" applyFont="1" applyFill="1" applyBorder="1" applyAlignment="1">
      <alignment horizontal="left" vertical="center" wrapText="1"/>
    </xf>
    <xf numFmtId="0" fontId="31" fillId="10" borderId="11" xfId="0" applyFont="1" applyFill="1" applyBorder="1" applyAlignment="1">
      <alignment wrapText="1"/>
    </xf>
    <xf numFmtId="0" fontId="13" fillId="3" borderId="13" xfId="0" quotePrefix="1" applyFont="1" applyFill="1" applyBorder="1" applyAlignment="1">
      <alignment horizontal="left" wrapText="1"/>
    </xf>
    <xf numFmtId="1" fontId="31" fillId="9" borderId="12" xfId="0" quotePrefix="1" applyNumberFormat="1" applyFont="1" applyFill="1" applyBorder="1" applyAlignment="1">
      <alignment horizontal="left" wrapText="1"/>
    </xf>
    <xf numFmtId="0" fontId="13" fillId="0" borderId="18" xfId="0" applyFont="1" applyBorder="1" applyAlignment="1">
      <alignment wrapText="1"/>
    </xf>
    <xf numFmtId="0" fontId="13" fillId="0" borderId="11" xfId="0" quotePrefix="1" applyFont="1" applyBorder="1" applyAlignment="1">
      <alignment wrapText="1"/>
    </xf>
    <xf numFmtId="0" fontId="31" fillId="3" borderId="11" xfId="0" quotePrefix="1" applyFont="1" applyFill="1" applyBorder="1" applyAlignment="1">
      <alignment horizontal="left" wrapText="1"/>
    </xf>
    <xf numFmtId="0" fontId="13" fillId="0" borderId="11" xfId="0" applyFont="1" applyBorder="1" applyAlignment="1">
      <alignment horizontal="left" wrapText="1"/>
    </xf>
    <xf numFmtId="0" fontId="13" fillId="0" borderId="0" xfId="0" quotePrefix="1" applyFont="1" applyAlignment="1">
      <alignment horizontal="left" wrapText="1"/>
    </xf>
    <xf numFmtId="0" fontId="48" fillId="3" borderId="11" xfId="0" quotePrefix="1" applyFont="1" applyFill="1" applyBorder="1" applyAlignment="1">
      <alignment horizontal="left" vertical="center" wrapText="1"/>
    </xf>
    <xf numFmtId="0" fontId="48" fillId="3" borderId="12" xfId="0" quotePrefix="1" applyFont="1" applyFill="1" applyBorder="1" applyAlignment="1">
      <alignment horizontal="left" vertical="center" wrapText="1"/>
    </xf>
    <xf numFmtId="0" fontId="13" fillId="3" borderId="12" xfId="0" applyFont="1" applyFill="1" applyBorder="1" applyAlignment="1">
      <alignment vertical="center" wrapText="1"/>
    </xf>
    <xf numFmtId="0" fontId="31" fillId="10" borderId="13" xfId="0" applyFont="1" applyFill="1" applyBorder="1" applyAlignment="1">
      <alignment wrapText="1"/>
    </xf>
    <xf numFmtId="1" fontId="31" fillId="11" borderId="12" xfId="0" quotePrefix="1" applyNumberFormat="1" applyFont="1" applyFill="1" applyBorder="1" applyAlignment="1">
      <alignment horizontal="left" wrapText="1"/>
    </xf>
    <xf numFmtId="0" fontId="31" fillId="11" borderId="12" xfId="0" applyFont="1" applyFill="1" applyBorder="1" applyAlignment="1">
      <alignment wrapText="1"/>
    </xf>
    <xf numFmtId="0" fontId="13" fillId="3" borderId="11" xfId="0" applyFont="1" applyFill="1" applyBorder="1" applyAlignment="1">
      <alignment horizontal="left" wrapText="1"/>
    </xf>
    <xf numFmtId="0" fontId="49" fillId="3" borderId="11" xfId="0" quotePrefix="1" applyFont="1" applyFill="1" applyBorder="1" applyAlignment="1">
      <alignment horizontal="left" wrapText="1"/>
    </xf>
    <xf numFmtId="0" fontId="49" fillId="0" borderId="11" xfId="0" quotePrefix="1" applyFont="1" applyBorder="1" applyAlignment="1">
      <alignment horizontal="left" wrapText="1"/>
    </xf>
    <xf numFmtId="0" fontId="13" fillId="0" borderId="11" xfId="0" applyFont="1" applyBorder="1" applyAlignment="1">
      <alignment horizontal="left" vertical="center" wrapText="1"/>
    </xf>
    <xf numFmtId="1" fontId="31" fillId="12" borderId="12" xfId="0" quotePrefix="1" applyNumberFormat="1" applyFont="1" applyFill="1" applyBorder="1" applyAlignment="1">
      <alignment horizontal="left" wrapText="1"/>
    </xf>
    <xf numFmtId="0" fontId="31" fillId="12" borderId="12" xfId="0" applyFont="1" applyFill="1" applyBorder="1" applyAlignment="1">
      <alignment wrapText="1"/>
    </xf>
    <xf numFmtId="0" fontId="13" fillId="14" borderId="0" xfId="0" applyFont="1" applyFill="1" applyAlignment="1">
      <alignment wrapText="1"/>
    </xf>
    <xf numFmtId="0" fontId="31" fillId="10" borderId="19" xfId="0" applyFont="1" applyFill="1" applyBorder="1" applyAlignment="1">
      <alignment horizontal="left" vertical="center" wrapText="1"/>
    </xf>
    <xf numFmtId="0" fontId="13" fillId="0" borderId="8" xfId="0" quotePrefix="1" applyFont="1" applyBorder="1" applyAlignment="1">
      <alignment horizontal="left" vertical="center" wrapText="1"/>
    </xf>
    <xf numFmtId="0" fontId="13" fillId="0" borderId="8" xfId="0" applyFont="1" applyBorder="1" applyAlignment="1">
      <alignment horizontal="left" vertical="center" wrapText="1"/>
    </xf>
    <xf numFmtId="0" fontId="13" fillId="0" borderId="20" xfId="0" applyFont="1" applyBorder="1" applyAlignment="1">
      <alignment horizontal="left" vertical="center" wrapText="1"/>
    </xf>
    <xf numFmtId="0" fontId="13" fillId="10" borderId="8" xfId="0" applyFont="1" applyFill="1" applyBorder="1" applyAlignment="1">
      <alignment horizontal="left" vertical="center" wrapText="1"/>
    </xf>
    <xf numFmtId="0" fontId="13" fillId="7" borderId="0" xfId="0" quotePrefix="1" applyFont="1" applyFill="1" applyAlignment="1">
      <alignment horizontal="left" wrapText="1"/>
    </xf>
    <xf numFmtId="1" fontId="31" fillId="4" borderId="12" xfId="0" quotePrefix="1" applyNumberFormat="1" applyFont="1" applyFill="1" applyBorder="1" applyAlignment="1">
      <alignment horizontal="left" wrapText="1"/>
    </xf>
    <xf numFmtId="0" fontId="31" fillId="4" borderId="12" xfId="0" applyFont="1" applyFill="1" applyBorder="1" applyAlignment="1">
      <alignment wrapText="1"/>
    </xf>
    <xf numFmtId="0" fontId="13" fillId="7" borderId="0" xfId="0" applyFont="1" applyFill="1" applyAlignment="1">
      <alignment wrapText="1"/>
    </xf>
    <xf numFmtId="0" fontId="13" fillId="0" borderId="0" xfId="0" applyFont="1"/>
    <xf numFmtId="0" fontId="31" fillId="0" borderId="0" xfId="0" applyFont="1" applyAlignment="1">
      <alignment horizontal="left" vertical="center"/>
    </xf>
    <xf numFmtId="0" fontId="31" fillId="2" borderId="0" xfId="0" applyFont="1" applyFill="1" applyAlignment="1">
      <alignment horizontal="left" vertical="center"/>
    </xf>
    <xf numFmtId="0" fontId="51" fillId="0" borderId="0" xfId="0" applyFont="1"/>
    <xf numFmtId="0" fontId="51" fillId="17" borderId="14" xfId="0" applyFont="1" applyFill="1" applyBorder="1"/>
    <xf numFmtId="0" fontId="51" fillId="0" borderId="3" xfId="0" applyFont="1" applyBorder="1"/>
    <xf numFmtId="0" fontId="51" fillId="0" borderId="3" xfId="0" quotePrefix="1" applyFont="1" applyBorder="1" applyAlignment="1">
      <alignment horizontal="left" wrapText="1"/>
    </xf>
    <xf numFmtId="0" fontId="51" fillId="0" borderId="22" xfId="0" quotePrefix="1" applyFont="1" applyBorder="1" applyAlignment="1">
      <alignment horizontal="left" wrapText="1"/>
    </xf>
    <xf numFmtId="0" fontId="17" fillId="3" borderId="0" xfId="4" applyFont="1" applyFill="1" applyAlignment="1">
      <alignment horizontal="center" vertical="center"/>
    </xf>
    <xf numFmtId="0" fontId="21" fillId="8" borderId="8" xfId="4" quotePrefix="1" applyFont="1" applyFill="1" applyBorder="1" applyAlignment="1">
      <alignment vertical="center"/>
    </xf>
    <xf numFmtId="0" fontId="21" fillId="8" borderId="9" xfId="4" quotePrefix="1" applyFont="1" applyFill="1" applyBorder="1" applyAlignment="1">
      <alignment vertical="center"/>
    </xf>
    <xf numFmtId="0" fontId="45" fillId="8" borderId="8" xfId="4" quotePrefix="1" applyFont="1" applyFill="1" applyBorder="1" applyAlignment="1">
      <alignment vertical="center"/>
    </xf>
    <xf numFmtId="0" fontId="44" fillId="2" borderId="1" xfId="12" quotePrefix="1" applyFont="1" applyFill="1" applyBorder="1" applyAlignment="1" applyProtection="1">
      <alignment horizontal="left" vertical="center"/>
      <protection locked="0"/>
    </xf>
    <xf numFmtId="0" fontId="52" fillId="19" borderId="1" xfId="0" applyFont="1" applyFill="1" applyBorder="1" applyAlignment="1">
      <alignment horizontal="center" vertical="center" wrapText="1"/>
    </xf>
    <xf numFmtId="3" fontId="20" fillId="3" borderId="1" xfId="0" applyNumberFormat="1" applyFont="1" applyFill="1" applyBorder="1" applyAlignment="1">
      <alignment horizontal="center" vertical="center" wrapText="1"/>
    </xf>
    <xf numFmtId="0" fontId="19" fillId="3" borderId="0" xfId="0" applyFont="1" applyFill="1" applyProtection="1">
      <protection locked="0"/>
    </xf>
    <xf numFmtId="0" fontId="20" fillId="3" borderId="1" xfId="4" quotePrefix="1" applyFont="1" applyFill="1" applyBorder="1" applyAlignment="1" applyProtection="1">
      <alignment horizontal="left" vertical="center" wrapText="1"/>
      <protection locked="0"/>
    </xf>
    <xf numFmtId="1" fontId="20" fillId="3" borderId="1" xfId="0" applyNumberFormat="1" applyFont="1" applyFill="1" applyBorder="1" applyAlignment="1">
      <alignment horizontal="center" vertical="center" wrapText="1"/>
    </xf>
    <xf numFmtId="0" fontId="13" fillId="6" borderId="5" xfId="0" applyFont="1" applyFill="1" applyBorder="1" applyAlignment="1">
      <alignment horizontal="left" vertical="center" wrapText="1"/>
    </xf>
    <xf numFmtId="0" fontId="13" fillId="6" borderId="1" xfId="0" applyFont="1" applyFill="1" applyBorder="1" applyAlignment="1">
      <alignment horizontal="left" vertical="center" wrapText="1"/>
    </xf>
    <xf numFmtId="0" fontId="19" fillId="3" borderId="0" xfId="4" applyFont="1" applyFill="1" applyAlignment="1">
      <alignment vertical="center"/>
    </xf>
    <xf numFmtId="0" fontId="20" fillId="3" borderId="2" xfId="0" quotePrefix="1" applyFont="1" applyFill="1" applyBorder="1" applyAlignment="1">
      <alignment horizontal="left" vertical="center" wrapText="1"/>
    </xf>
    <xf numFmtId="0" fontId="53" fillId="5" borderId="1" xfId="3" applyFont="1" applyFill="1" applyBorder="1" applyAlignment="1">
      <alignment horizontal="center" vertical="center"/>
    </xf>
    <xf numFmtId="0" fontId="53" fillId="0" borderId="0" xfId="0" applyFont="1" applyAlignment="1" applyProtection="1">
      <alignment horizontal="center" vertical="center"/>
      <protection locked="0"/>
    </xf>
    <xf numFmtId="0" fontId="55" fillId="3" borderId="1" xfId="3" applyFont="1" applyFill="1" applyBorder="1" applyAlignment="1">
      <alignment horizontal="center" vertical="center" textRotation="90"/>
    </xf>
    <xf numFmtId="0" fontId="56" fillId="18" borderId="2" xfId="3" applyFont="1" applyFill="1" applyBorder="1" applyAlignment="1">
      <alignment vertical="top" wrapText="1"/>
    </xf>
    <xf numFmtId="0" fontId="56" fillId="0" borderId="0" xfId="3" applyFont="1" applyAlignment="1">
      <alignment wrapText="1"/>
    </xf>
    <xf numFmtId="0" fontId="9" fillId="0" borderId="0" xfId="3"/>
    <xf numFmtId="0" fontId="53" fillId="18" borderId="1" xfId="3" applyFont="1" applyFill="1" applyBorder="1" applyAlignment="1">
      <alignment vertical="center" wrapText="1"/>
    </xf>
    <xf numFmtId="0" fontId="56" fillId="18" borderId="2" xfId="3" applyFont="1" applyFill="1" applyBorder="1" applyAlignment="1">
      <alignment vertical="center" wrapText="1"/>
    </xf>
    <xf numFmtId="0" fontId="14" fillId="0" borderId="1" xfId="3" applyFont="1" applyBorder="1"/>
    <xf numFmtId="0" fontId="56" fillId="0" borderId="1" xfId="3" applyFont="1" applyBorder="1" applyAlignment="1">
      <alignment vertical="center" wrapText="1"/>
    </xf>
    <xf numFmtId="0" fontId="56" fillId="0" borderId="0" xfId="3" applyFont="1"/>
    <xf numFmtId="0" fontId="53" fillId="0" borderId="1" xfId="3" applyFont="1" applyBorder="1"/>
    <xf numFmtId="0" fontId="58" fillId="18" borderId="1" xfId="3" applyFont="1" applyFill="1" applyBorder="1" applyAlignment="1">
      <alignment vertical="center" wrapText="1"/>
    </xf>
    <xf numFmtId="0" fontId="56" fillId="3" borderId="1" xfId="3" applyFont="1" applyFill="1" applyBorder="1" applyAlignment="1">
      <alignment vertical="center"/>
    </xf>
    <xf numFmtId="0" fontId="56" fillId="3" borderId="2" xfId="3" applyFont="1" applyFill="1" applyBorder="1" applyAlignment="1">
      <alignment wrapText="1"/>
    </xf>
    <xf numFmtId="0" fontId="53" fillId="18" borderId="1" xfId="3" applyFont="1" applyFill="1" applyBorder="1" applyAlignment="1">
      <alignment horizontal="left" vertical="center" wrapText="1"/>
    </xf>
    <xf numFmtId="0" fontId="53" fillId="18" borderId="2" xfId="3" applyFont="1" applyFill="1" applyBorder="1" applyAlignment="1">
      <alignment horizontal="left" vertical="center" wrapText="1"/>
    </xf>
    <xf numFmtId="9" fontId="0" fillId="3" borderId="0" xfId="0" applyNumberFormat="1" applyFill="1"/>
    <xf numFmtId="0" fontId="0" fillId="3" borderId="0" xfId="0" quotePrefix="1" applyFill="1" applyAlignment="1" applyProtection="1">
      <alignment horizontal="left"/>
      <protection locked="0"/>
    </xf>
    <xf numFmtId="0" fontId="16" fillId="3" borderId="0" xfId="4" quotePrefix="1" applyFont="1" applyFill="1" applyAlignment="1" applyProtection="1">
      <alignment horizontal="right" vertical="center"/>
      <protection locked="0"/>
    </xf>
    <xf numFmtId="0" fontId="14" fillId="3" borderId="0" xfId="4" quotePrefix="1" applyFont="1" applyFill="1" applyAlignment="1" applyProtection="1">
      <alignment horizontal="left" vertical="center"/>
      <protection locked="0"/>
    </xf>
    <xf numFmtId="0" fontId="16" fillId="3" borderId="0" xfId="4" quotePrefix="1" applyFont="1" applyFill="1" applyAlignment="1" applyProtection="1">
      <alignment horizontal="left" vertical="center"/>
      <protection locked="0"/>
    </xf>
    <xf numFmtId="0" fontId="16" fillId="3" borderId="0" xfId="4" quotePrefix="1" applyFont="1" applyFill="1" applyAlignment="1">
      <alignment horizontal="left" vertical="center"/>
    </xf>
    <xf numFmtId="1" fontId="54" fillId="5" borderId="1" xfId="0" applyNumberFormat="1" applyFont="1" applyFill="1" applyBorder="1" applyAlignment="1" applyProtection="1">
      <alignment horizontal="center" vertical="center"/>
      <protection locked="0"/>
    </xf>
    <xf numFmtId="0" fontId="57" fillId="18" borderId="3" xfId="12" applyFont="1" applyFill="1" applyBorder="1" applyAlignment="1">
      <alignment horizontal="center" vertical="center"/>
    </xf>
    <xf numFmtId="0" fontId="27" fillId="18" borderId="3" xfId="12" applyFill="1" applyBorder="1" applyAlignment="1">
      <alignment horizontal="center" vertical="center"/>
    </xf>
    <xf numFmtId="0" fontId="57" fillId="3" borderId="3" xfId="12" applyFont="1" applyFill="1" applyBorder="1" applyAlignment="1">
      <alignment horizontal="center" vertical="center"/>
    </xf>
    <xf numFmtId="0" fontId="59" fillId="5" borderId="1" xfId="3" applyFont="1" applyFill="1" applyBorder="1" applyAlignment="1">
      <alignment horizontal="left" vertical="top" wrapText="1"/>
    </xf>
    <xf numFmtId="0" fontId="56" fillId="18" borderId="1" xfId="3" applyFont="1" applyFill="1" applyBorder="1" applyAlignment="1">
      <alignment wrapText="1"/>
    </xf>
    <xf numFmtId="0" fontId="52" fillId="19" borderId="0" xfId="0" applyFont="1" applyFill="1" applyAlignment="1">
      <alignment horizontal="center" vertical="center"/>
    </xf>
    <xf numFmtId="0" fontId="53" fillId="5" borderId="1" xfId="3" applyFont="1" applyFill="1" applyBorder="1" applyAlignment="1">
      <alignment horizontal="center" vertical="center" wrapText="1"/>
    </xf>
    <xf numFmtId="0" fontId="53" fillId="0" borderId="1" xfId="3" applyFont="1" applyBorder="1" applyAlignment="1">
      <alignment horizontal="center" vertical="center" wrapText="1"/>
    </xf>
    <xf numFmtId="0" fontId="53" fillId="0" borderId="1" xfId="3" applyFont="1" applyBorder="1" applyAlignment="1">
      <alignment horizontal="center" vertical="center"/>
    </xf>
    <xf numFmtId="0" fontId="53" fillId="3" borderId="1" xfId="3" applyFont="1" applyFill="1" applyBorder="1" applyAlignment="1">
      <alignment horizontal="center" vertical="center"/>
    </xf>
    <xf numFmtId="0" fontId="52" fillId="19" borderId="1" xfId="0" applyFont="1" applyFill="1" applyBorder="1" applyAlignment="1">
      <alignment horizontal="center" vertical="center"/>
    </xf>
    <xf numFmtId="0" fontId="9" fillId="0" borderId="0" xfId="3" applyAlignment="1">
      <alignment wrapText="1"/>
    </xf>
    <xf numFmtId="0" fontId="21" fillId="3" borderId="0" xfId="0" applyFont="1" applyFill="1" applyAlignment="1">
      <alignment vertical="center" wrapText="1"/>
    </xf>
    <xf numFmtId="0" fontId="1" fillId="5" borderId="1" xfId="3" applyFont="1" applyFill="1" applyBorder="1" applyAlignment="1">
      <alignment horizontal="center" vertical="center"/>
    </xf>
    <xf numFmtId="0" fontId="9" fillId="3" borderId="0" xfId="3" applyFill="1" applyAlignment="1">
      <alignment horizontal="center"/>
    </xf>
    <xf numFmtId="0" fontId="56" fillId="5" borderId="1" xfId="3" applyFont="1" applyFill="1" applyBorder="1" applyAlignment="1">
      <alignment vertical="top" wrapText="1"/>
    </xf>
    <xf numFmtId="0" fontId="60" fillId="5" borderId="1" xfId="3" applyFont="1" applyFill="1" applyBorder="1" applyAlignment="1">
      <alignment vertical="top" wrapText="1"/>
    </xf>
    <xf numFmtId="0" fontId="56" fillId="0" borderId="1" xfId="3" applyFont="1" applyBorder="1"/>
    <xf numFmtId="0" fontId="56" fillId="0" borderId="1" xfId="3" applyFont="1" applyBorder="1" applyAlignment="1">
      <alignment vertical="top" wrapText="1"/>
    </xf>
    <xf numFmtId="0" fontId="59" fillId="0" borderId="0" xfId="3" applyFont="1" applyAlignment="1">
      <alignment horizontal="left" vertical="top" wrapText="1"/>
    </xf>
    <xf numFmtId="0" fontId="56" fillId="3" borderId="1" xfId="3" applyFont="1" applyFill="1" applyBorder="1" applyAlignment="1">
      <alignment vertical="top" wrapText="1"/>
    </xf>
    <xf numFmtId="0" fontId="0" fillId="5" borderId="1" xfId="3" applyFont="1" applyFill="1" applyBorder="1" applyAlignment="1">
      <alignment vertical="top" wrapText="1"/>
    </xf>
    <xf numFmtId="0" fontId="0" fillId="5" borderId="2" xfId="3" applyFont="1" applyFill="1" applyBorder="1" applyAlignment="1">
      <alignment vertical="top" wrapText="1"/>
    </xf>
    <xf numFmtId="0" fontId="42" fillId="3" borderId="0" xfId="0" quotePrefix="1" applyFont="1" applyFill="1" applyAlignment="1">
      <alignment horizontal="center" vertical="center" wrapText="1"/>
    </xf>
    <xf numFmtId="0" fontId="55" fillId="9" borderId="6" xfId="3" applyFont="1" applyFill="1" applyBorder="1" applyAlignment="1">
      <alignment horizontal="center" vertical="center" textRotation="90"/>
    </xf>
    <xf numFmtId="0" fontId="55" fillId="9" borderId="5" xfId="3" applyFont="1" applyFill="1" applyBorder="1" applyAlignment="1">
      <alignment horizontal="center" vertical="center" textRotation="90"/>
    </xf>
    <xf numFmtId="0" fontId="55" fillId="11" borderId="6" xfId="3" applyFont="1" applyFill="1" applyBorder="1" applyAlignment="1">
      <alignment horizontal="center" vertical="center" textRotation="90"/>
    </xf>
    <xf numFmtId="0" fontId="55" fillId="11" borderId="5" xfId="3" applyFont="1" applyFill="1" applyBorder="1" applyAlignment="1">
      <alignment horizontal="center" vertical="center" textRotation="90"/>
    </xf>
    <xf numFmtId="0" fontId="55" fillId="12" borderId="16" xfId="3" applyFont="1" applyFill="1" applyBorder="1" applyAlignment="1">
      <alignment horizontal="center" vertical="center" textRotation="90"/>
    </xf>
    <xf numFmtId="0" fontId="55" fillId="12" borderId="6" xfId="3" applyFont="1" applyFill="1" applyBorder="1" applyAlignment="1">
      <alignment horizontal="center" vertical="center" textRotation="90"/>
    </xf>
    <xf numFmtId="0" fontId="55" fillId="12" borderId="5" xfId="3" applyFont="1" applyFill="1" applyBorder="1" applyAlignment="1">
      <alignment horizontal="center" vertical="center" textRotation="90"/>
    </xf>
    <xf numFmtId="0" fontId="55" fillId="4" borderId="15" xfId="3" applyFont="1" applyFill="1" applyBorder="1" applyAlignment="1">
      <alignment horizontal="center" vertical="center" textRotation="90"/>
    </xf>
    <xf numFmtId="0" fontId="55" fillId="4" borderId="17" xfId="3" applyFont="1" applyFill="1" applyBorder="1" applyAlignment="1">
      <alignment horizontal="center" vertical="center" textRotation="90"/>
    </xf>
    <xf numFmtId="0" fontId="52" fillId="19" borderId="1" xfId="0" applyFont="1" applyFill="1" applyBorder="1" applyAlignment="1">
      <alignment horizontal="center" vertical="center"/>
    </xf>
    <xf numFmtId="0" fontId="52" fillId="19" borderId="1" xfId="0" applyFont="1" applyFill="1" applyBorder="1" applyAlignment="1">
      <alignment horizontal="left" vertical="center"/>
    </xf>
    <xf numFmtId="0" fontId="52" fillId="19" borderId="16" xfId="0" applyFont="1" applyFill="1" applyBorder="1" applyAlignment="1">
      <alignment horizontal="center" vertical="center"/>
    </xf>
    <xf numFmtId="0" fontId="53" fillId="5" borderId="21" xfId="0" applyFont="1" applyFill="1" applyBorder="1" applyAlignment="1" applyProtection="1">
      <alignment horizontal="center" vertical="center"/>
      <protection locked="0"/>
    </xf>
    <xf numFmtId="0" fontId="53" fillId="5" borderId="22" xfId="0" applyFont="1" applyFill="1" applyBorder="1" applyAlignment="1" applyProtection="1">
      <alignment horizontal="center" vertical="center"/>
      <protection locked="0"/>
    </xf>
    <xf numFmtId="0" fontId="53" fillId="5" borderId="15" xfId="0" applyFont="1" applyFill="1" applyBorder="1" applyAlignment="1" applyProtection="1">
      <alignment horizontal="center" vertical="center"/>
      <protection locked="0"/>
    </xf>
    <xf numFmtId="0" fontId="53" fillId="5" borderId="24" xfId="0" applyFont="1" applyFill="1" applyBorder="1" applyAlignment="1" applyProtection="1">
      <alignment horizontal="center" vertical="center"/>
      <protection locked="0"/>
    </xf>
    <xf numFmtId="0" fontId="53" fillId="5" borderId="0" xfId="0" applyFont="1" applyFill="1" applyAlignment="1" applyProtection="1">
      <alignment horizontal="center" vertical="center"/>
      <protection locked="0"/>
    </xf>
    <xf numFmtId="0" fontId="53" fillId="5" borderId="17" xfId="0" applyFont="1" applyFill="1" applyBorder="1" applyAlignment="1" applyProtection="1">
      <alignment horizontal="center" vertical="center"/>
      <protection locked="0"/>
    </xf>
    <xf numFmtId="0" fontId="53" fillId="5" borderId="25" xfId="0" applyFont="1" applyFill="1" applyBorder="1" applyAlignment="1" applyProtection="1">
      <alignment horizontal="center" vertical="center"/>
      <protection locked="0"/>
    </xf>
    <xf numFmtId="0" fontId="53" fillId="5" borderId="14" xfId="0" applyFont="1" applyFill="1" applyBorder="1" applyAlignment="1" applyProtection="1">
      <alignment horizontal="center" vertical="center"/>
      <protection locked="0"/>
    </xf>
    <xf numFmtId="0" fontId="53" fillId="5" borderId="23" xfId="0" applyFont="1" applyFill="1" applyBorder="1" applyAlignment="1" applyProtection="1">
      <alignment horizontal="center" vertical="center"/>
      <protection locked="0"/>
    </xf>
    <xf numFmtId="0" fontId="13" fillId="3" borderId="2" xfId="0" quotePrefix="1" applyFont="1" applyFill="1" applyBorder="1" applyAlignment="1">
      <alignment horizontal="left" vertical="center" wrapText="1"/>
    </xf>
    <xf numFmtId="0" fontId="13" fillId="3" borderId="3" xfId="0" quotePrefix="1" applyFont="1" applyFill="1" applyBorder="1" applyAlignment="1">
      <alignment horizontal="left" vertical="center" wrapText="1"/>
    </xf>
    <xf numFmtId="0" fontId="13" fillId="3" borderId="4" xfId="0" quotePrefix="1" applyFont="1" applyFill="1" applyBorder="1" applyAlignment="1">
      <alignment horizontal="left" vertical="center" wrapText="1"/>
    </xf>
    <xf numFmtId="0" fontId="20" fillId="5" borderId="1" xfId="4" applyFont="1" applyFill="1" applyBorder="1" applyAlignment="1" applyProtection="1">
      <alignment horizontal="center" vertical="center" wrapText="1"/>
      <protection locked="0"/>
    </xf>
    <xf numFmtId="0" fontId="20" fillId="5" borderId="1" xfId="4" applyFont="1" applyFill="1" applyBorder="1" applyAlignment="1" applyProtection="1">
      <alignment horizontal="center" vertical="center"/>
      <protection locked="0"/>
    </xf>
    <xf numFmtId="0" fontId="19" fillId="16" borderId="1" xfId="0" quotePrefix="1" applyFont="1" applyFill="1" applyBorder="1" applyAlignment="1">
      <alignment horizontal="left" vertical="center" wrapText="1"/>
    </xf>
    <xf numFmtId="0" fontId="19" fillId="16" borderId="1" xfId="0" applyFont="1" applyFill="1" applyBorder="1" applyAlignment="1">
      <alignment horizontal="left" vertical="center" wrapText="1"/>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37" fillId="16" borderId="14" xfId="0" applyFont="1" applyFill="1" applyBorder="1" applyAlignment="1">
      <alignment horizontal="center" vertical="center" wrapText="1"/>
    </xf>
    <xf numFmtId="0" fontId="37" fillId="16" borderId="23" xfId="0" applyFont="1" applyFill="1" applyBorder="1" applyAlignment="1">
      <alignment horizontal="center" vertical="center" wrapText="1"/>
    </xf>
    <xf numFmtId="0" fontId="24" fillId="3" borderId="16" xfId="0" applyFont="1" applyFill="1" applyBorder="1" applyAlignment="1">
      <alignment horizontal="center" vertical="center" wrapText="1"/>
    </xf>
    <xf numFmtId="0" fontId="24" fillId="3" borderId="6" xfId="0" applyFont="1" applyFill="1" applyBorder="1" applyAlignment="1">
      <alignment horizontal="center" vertical="center" wrapText="1"/>
    </xf>
    <xf numFmtId="0" fontId="24" fillId="3" borderId="5" xfId="0" applyFont="1" applyFill="1" applyBorder="1" applyAlignment="1">
      <alignment horizontal="center" vertical="center" wrapText="1"/>
    </xf>
    <xf numFmtId="0" fontId="32" fillId="3" borderId="1" xfId="0" quotePrefix="1" applyFont="1" applyFill="1" applyBorder="1" applyAlignment="1">
      <alignment horizontal="left" vertical="center" wrapText="1"/>
    </xf>
    <xf numFmtId="0" fontId="32" fillId="3" borderId="1" xfId="0" applyFont="1" applyFill="1" applyBorder="1" applyAlignment="1">
      <alignment vertical="center" wrapText="1"/>
    </xf>
    <xf numFmtId="0" fontId="20" fillId="3" borderId="16"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5" xfId="0" applyFont="1" applyFill="1" applyBorder="1" applyAlignment="1">
      <alignment horizontal="center" vertical="center"/>
    </xf>
    <xf numFmtId="0" fontId="26" fillId="6" borderId="2" xfId="0" applyFont="1" applyFill="1" applyBorder="1" applyAlignment="1" applyProtection="1">
      <alignment horizontal="left" vertical="top" wrapText="1"/>
      <protection locked="0"/>
    </xf>
    <xf numFmtId="0" fontId="26" fillId="6" borderId="3" xfId="0" applyFont="1" applyFill="1" applyBorder="1" applyAlignment="1" applyProtection="1">
      <alignment horizontal="left" vertical="top" wrapText="1"/>
      <protection locked="0"/>
    </xf>
    <xf numFmtId="0" fontId="26" fillId="6" borderId="4" xfId="0" applyFont="1" applyFill="1" applyBorder="1" applyAlignment="1" applyProtection="1">
      <alignment horizontal="left" vertical="top" wrapText="1"/>
      <protection locked="0"/>
    </xf>
    <xf numFmtId="0" fontId="26" fillId="6" borderId="2" xfId="0" quotePrefix="1" applyFont="1" applyFill="1" applyBorder="1" applyAlignment="1" applyProtection="1">
      <alignment horizontal="left" vertical="top" wrapText="1"/>
      <protection locked="0"/>
    </xf>
    <xf numFmtId="0" fontId="26" fillId="6" borderId="3" xfId="0" quotePrefix="1" applyFont="1" applyFill="1" applyBorder="1" applyAlignment="1" applyProtection="1">
      <alignment horizontal="left" vertical="top" wrapText="1"/>
      <protection locked="0"/>
    </xf>
    <xf numFmtId="0" fontId="26" fillId="6" borderId="4" xfId="0" quotePrefix="1" applyFont="1" applyFill="1" applyBorder="1" applyAlignment="1" applyProtection="1">
      <alignment horizontal="left" vertical="top" wrapText="1"/>
      <protection locked="0"/>
    </xf>
    <xf numFmtId="0" fontId="24" fillId="17" borderId="2" xfId="0" applyFont="1" applyFill="1" applyBorder="1" applyAlignment="1">
      <alignment horizontal="left" vertical="center"/>
    </xf>
    <xf numFmtId="0" fontId="24" fillId="17" borderId="3" xfId="0" applyFont="1" applyFill="1" applyBorder="1" applyAlignment="1">
      <alignment horizontal="left" vertical="center"/>
    </xf>
    <xf numFmtId="0" fontId="24" fillId="17" borderId="4" xfId="0" applyFont="1" applyFill="1" applyBorder="1" applyAlignment="1">
      <alignment horizontal="left" vertical="center"/>
    </xf>
    <xf numFmtId="0" fontId="23" fillId="3" borderId="0" xfId="4" applyFont="1" applyFill="1" applyAlignment="1">
      <alignment horizontal="center" vertical="center" wrapText="1"/>
    </xf>
    <xf numFmtId="0" fontId="21" fillId="11" borderId="16" xfId="0" quotePrefix="1" applyFont="1" applyFill="1" applyBorder="1" applyAlignment="1">
      <alignment horizontal="center" vertical="center" textRotation="90" wrapText="1"/>
    </xf>
    <xf numFmtId="0" fontId="21" fillId="11" borderId="6" xfId="0" quotePrefix="1" applyFont="1" applyFill="1" applyBorder="1" applyAlignment="1">
      <alignment horizontal="center" vertical="center" textRotation="90" wrapText="1"/>
    </xf>
    <xf numFmtId="0" fontId="21" fillId="11" borderId="5" xfId="0" quotePrefix="1" applyFont="1" applyFill="1" applyBorder="1" applyAlignment="1">
      <alignment horizontal="center" vertical="center" textRotation="90" wrapText="1"/>
    </xf>
    <xf numFmtId="0" fontId="13" fillId="5" borderId="2" xfId="0" applyFont="1" applyFill="1" applyBorder="1" applyAlignment="1" applyProtection="1">
      <alignment horizontal="left" vertical="center" wrapText="1"/>
      <protection locked="0"/>
    </xf>
    <xf numFmtId="0" fontId="13" fillId="5" borderId="3" xfId="0" applyFont="1" applyFill="1" applyBorder="1" applyAlignment="1" applyProtection="1">
      <alignment horizontal="left" vertical="center" wrapText="1"/>
      <protection locked="0"/>
    </xf>
    <xf numFmtId="0" fontId="13" fillId="5" borderId="4" xfId="0" applyFont="1" applyFill="1" applyBorder="1" applyAlignment="1" applyProtection="1">
      <alignment horizontal="left" vertical="center" wrapText="1"/>
      <protection locked="0"/>
    </xf>
    <xf numFmtId="9" fontId="30" fillId="3" borderId="1" xfId="13" applyFont="1" applyFill="1" applyBorder="1" applyAlignment="1" applyProtection="1">
      <alignment horizontal="center" vertical="center" wrapText="1"/>
    </xf>
    <xf numFmtId="0" fontId="21" fillId="3" borderId="14" xfId="0" applyFont="1" applyFill="1" applyBorder="1" applyAlignment="1">
      <alignment horizontal="center"/>
    </xf>
    <xf numFmtId="0" fontId="21" fillId="9" borderId="16" xfId="0" quotePrefix="1" applyFont="1" applyFill="1" applyBorder="1" applyAlignment="1">
      <alignment horizontal="center" vertical="center" textRotation="90"/>
    </xf>
    <xf numFmtId="0" fontId="21" fillId="9" borderId="6" xfId="0" applyFont="1" applyFill="1" applyBorder="1" applyAlignment="1">
      <alignment horizontal="center" vertical="center" textRotation="90"/>
    </xf>
    <xf numFmtId="0" fontId="21" fillId="9" borderId="5" xfId="0" applyFont="1" applyFill="1" applyBorder="1" applyAlignment="1">
      <alignment horizontal="center" vertical="center" textRotation="90"/>
    </xf>
    <xf numFmtId="0" fontId="21" fillId="8" borderId="7" xfId="4" quotePrefix="1" applyFont="1" applyFill="1" applyBorder="1" applyAlignment="1">
      <alignment horizontal="left" vertical="center"/>
    </xf>
    <xf numFmtId="0" fontId="21" fillId="8" borderId="8" xfId="4" quotePrefix="1" applyFont="1" applyFill="1" applyBorder="1" applyAlignment="1">
      <alignment horizontal="left" vertical="center"/>
    </xf>
    <xf numFmtId="0" fontId="21" fillId="8" borderId="9" xfId="4" quotePrefix="1" applyFont="1" applyFill="1" applyBorder="1" applyAlignment="1">
      <alignment horizontal="left" vertical="center"/>
    </xf>
    <xf numFmtId="0" fontId="21" fillId="3" borderId="0" xfId="0" quotePrefix="1" applyFont="1" applyFill="1" applyAlignment="1">
      <alignment horizontal="center"/>
    </xf>
    <xf numFmtId="0" fontId="13" fillId="5" borderId="1" xfId="0" applyFont="1" applyFill="1" applyBorder="1" applyAlignment="1" applyProtection="1">
      <alignment horizontal="left" vertical="center" wrapText="1"/>
      <protection locked="0"/>
    </xf>
    <xf numFmtId="0" fontId="24" fillId="17" borderId="2" xfId="0" quotePrefix="1" applyFont="1" applyFill="1" applyBorder="1" applyAlignment="1">
      <alignment horizontal="left" vertical="center"/>
    </xf>
    <xf numFmtId="0" fontId="24" fillId="17" borderId="3" xfId="0" quotePrefix="1" applyFont="1" applyFill="1" applyBorder="1" applyAlignment="1">
      <alignment horizontal="left" vertical="center"/>
    </xf>
    <xf numFmtId="0" fontId="24" fillId="17" borderId="4" xfId="0" quotePrefix="1" applyFont="1" applyFill="1" applyBorder="1" applyAlignment="1">
      <alignment horizontal="left" vertical="center"/>
    </xf>
    <xf numFmtId="9" fontId="30" fillId="3" borderId="1" xfId="0" applyNumberFormat="1" applyFont="1" applyFill="1" applyBorder="1" applyAlignment="1">
      <alignment horizontal="center" vertical="center"/>
    </xf>
    <xf numFmtId="0" fontId="21" fillId="4" borderId="16" xfId="0" applyFont="1" applyFill="1" applyBorder="1" applyAlignment="1">
      <alignment horizontal="center" vertical="center" textRotation="90"/>
    </xf>
    <xf numFmtId="0" fontId="21" fillId="4" borderId="6" xfId="0" applyFont="1" applyFill="1" applyBorder="1" applyAlignment="1">
      <alignment horizontal="center" vertical="center" textRotation="90"/>
    </xf>
    <xf numFmtId="0" fontId="21" fillId="4" borderId="5" xfId="0" applyFont="1" applyFill="1" applyBorder="1" applyAlignment="1">
      <alignment horizontal="center" vertical="center" textRotation="90"/>
    </xf>
    <xf numFmtId="9" fontId="30" fillId="3" borderId="16" xfId="0" applyNumberFormat="1" applyFont="1" applyFill="1" applyBorder="1" applyAlignment="1">
      <alignment horizontal="center" vertical="center"/>
    </xf>
    <xf numFmtId="9" fontId="30" fillId="3" borderId="6" xfId="0" applyNumberFormat="1" applyFont="1" applyFill="1" applyBorder="1" applyAlignment="1">
      <alignment horizontal="center" vertical="center"/>
    </xf>
    <xf numFmtId="9" fontId="30" fillId="3" borderId="5" xfId="0" applyNumberFormat="1" applyFont="1" applyFill="1" applyBorder="1" applyAlignment="1">
      <alignment horizontal="center" vertical="center"/>
    </xf>
    <xf numFmtId="0" fontId="21" fillId="3" borderId="1" xfId="4" applyFont="1" applyFill="1" applyBorder="1" applyAlignment="1">
      <alignment horizontal="center" vertical="center" wrapText="1"/>
    </xf>
    <xf numFmtId="0" fontId="20" fillId="3" borderId="1" xfId="0" quotePrefix="1" applyFont="1" applyFill="1" applyBorder="1" applyAlignment="1">
      <alignment horizontal="left" vertical="center" wrapText="1"/>
    </xf>
    <xf numFmtId="0" fontId="21" fillId="8" borderId="7" xfId="4" quotePrefix="1" applyFont="1" applyFill="1" applyBorder="1" applyAlignment="1">
      <alignment horizontal="left" vertical="center" wrapText="1"/>
    </xf>
    <xf numFmtId="0" fontId="21" fillId="8" borderId="8" xfId="4" quotePrefix="1" applyFont="1" applyFill="1" applyBorder="1" applyAlignment="1">
      <alignment horizontal="left" vertical="center" wrapText="1"/>
    </xf>
    <xf numFmtId="0" fontId="32" fillId="3" borderId="1" xfId="0" quotePrefix="1" applyFont="1" applyFill="1" applyBorder="1" applyAlignment="1">
      <alignment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36" fillId="16" borderId="1" xfId="0" quotePrefix="1" applyFont="1" applyFill="1" applyBorder="1" applyAlignment="1">
      <alignment horizontal="center" vertical="center" wrapText="1"/>
    </xf>
    <xf numFmtId="0" fontId="36" fillId="16"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21" fillId="12" borderId="16" xfId="0" quotePrefix="1" applyFont="1" applyFill="1" applyBorder="1" applyAlignment="1">
      <alignment horizontal="center" vertical="center" textRotation="90"/>
    </xf>
    <xf numFmtId="0" fontId="21" fillId="12" borderId="6" xfId="0" quotePrefix="1" applyFont="1" applyFill="1" applyBorder="1" applyAlignment="1">
      <alignment horizontal="center" vertical="center" textRotation="90"/>
    </xf>
    <xf numFmtId="0" fontId="21" fillId="12" borderId="5" xfId="0" quotePrefix="1" applyFont="1" applyFill="1" applyBorder="1" applyAlignment="1">
      <alignment horizontal="center" vertical="center" textRotation="90"/>
    </xf>
    <xf numFmtId="0" fontId="11" fillId="2" borderId="1" xfId="0" quotePrefix="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2" xfId="0" quotePrefix="1" applyFont="1" applyFill="1" applyBorder="1" applyAlignment="1">
      <alignment horizontal="center" vertical="center" wrapText="1"/>
    </xf>
    <xf numFmtId="0" fontId="11" fillId="2" borderId="3" xfId="0" quotePrefix="1" applyFont="1" applyFill="1" applyBorder="1" applyAlignment="1">
      <alignment horizontal="center" vertical="center" wrapText="1"/>
    </xf>
    <xf numFmtId="0" fontId="11" fillId="2" borderId="4" xfId="0" quotePrefix="1" applyFont="1" applyFill="1" applyBorder="1" applyAlignment="1">
      <alignment horizontal="center" vertical="center" wrapText="1"/>
    </xf>
    <xf numFmtId="0" fontId="26" fillId="6" borderId="1" xfId="0" quotePrefix="1" applyFont="1" applyFill="1" applyBorder="1" applyAlignment="1" applyProtection="1">
      <alignment horizontal="left" vertical="top" wrapText="1"/>
      <protection locked="0"/>
    </xf>
    <xf numFmtId="0" fontId="26" fillId="6" borderId="1" xfId="0" applyFont="1" applyFill="1" applyBorder="1" applyAlignment="1" applyProtection="1">
      <alignment horizontal="left" vertical="top" wrapText="1"/>
      <protection locked="0"/>
    </xf>
    <xf numFmtId="0" fontId="21" fillId="2" borderId="1" xfId="0" quotePrefix="1" applyFont="1" applyFill="1" applyBorder="1" applyAlignment="1">
      <alignment horizontal="left" vertical="center"/>
    </xf>
    <xf numFmtId="0" fontId="37" fillId="16" borderId="1" xfId="0" quotePrefix="1" applyFont="1" applyFill="1" applyBorder="1" applyAlignment="1">
      <alignment horizontal="left" vertical="center" wrapText="1"/>
    </xf>
    <xf numFmtId="0" fontId="37" fillId="16" borderId="1" xfId="0" applyFont="1" applyFill="1" applyBorder="1" applyAlignment="1">
      <alignment horizontal="left" vertical="center" wrapText="1"/>
    </xf>
    <xf numFmtId="9" fontId="20" fillId="0" borderId="1" xfId="13" applyFont="1" applyFill="1" applyBorder="1" applyAlignment="1" applyProtection="1">
      <alignment horizontal="left" vertical="center" wrapText="1"/>
    </xf>
    <xf numFmtId="9" fontId="20" fillId="3" borderId="1" xfId="4" applyNumberFormat="1" applyFont="1" applyFill="1" applyBorder="1" applyAlignment="1" applyProtection="1">
      <alignment horizontal="center" vertical="center" wrapText="1"/>
      <protection locked="0"/>
    </xf>
    <xf numFmtId="9" fontId="20" fillId="5" borderId="1" xfId="4" applyNumberFormat="1" applyFont="1" applyFill="1" applyBorder="1" applyAlignment="1" applyProtection="1">
      <alignment horizontal="center" vertical="center" wrapText="1"/>
      <protection locked="0"/>
    </xf>
    <xf numFmtId="9" fontId="20" fillId="5" borderId="1" xfId="4" applyNumberFormat="1" applyFont="1" applyFill="1" applyBorder="1" applyAlignment="1" applyProtection="1">
      <alignment horizontal="center" vertical="center"/>
      <protection locked="0"/>
    </xf>
    <xf numFmtId="0" fontId="21" fillId="3" borderId="14" xfId="0" quotePrefix="1" applyFont="1" applyFill="1" applyBorder="1" applyAlignment="1">
      <alignment horizontal="center" vertical="center" wrapText="1"/>
    </xf>
    <xf numFmtId="0" fontId="23" fillId="3" borderId="0" xfId="4" quotePrefix="1" applyFont="1" applyFill="1" applyAlignment="1">
      <alignment horizontal="center" vertical="top"/>
    </xf>
    <xf numFmtId="0" fontId="21" fillId="3" borderId="0" xfId="0" applyFont="1" applyFill="1" applyAlignment="1">
      <alignment horizontal="center"/>
    </xf>
    <xf numFmtId="0" fontId="21" fillId="3" borderId="14" xfId="0" quotePrefix="1" applyFont="1" applyFill="1" applyBorder="1" applyAlignment="1">
      <alignment horizontal="center"/>
    </xf>
    <xf numFmtId="0" fontId="24" fillId="15" borderId="1" xfId="0" quotePrefix="1" applyFont="1" applyFill="1" applyBorder="1" applyAlignment="1">
      <alignment horizontal="left" vertical="center" wrapText="1"/>
    </xf>
    <xf numFmtId="0" fontId="24" fillId="15" borderId="1" xfId="0" applyFont="1" applyFill="1" applyBorder="1" applyAlignment="1">
      <alignment horizontal="left" vertical="center" wrapText="1"/>
    </xf>
    <xf numFmtId="9" fontId="30" fillId="3" borderId="16" xfId="13" applyFont="1" applyFill="1" applyBorder="1" applyAlignment="1" applyProtection="1">
      <alignment horizontal="center" vertical="center" wrapText="1"/>
    </xf>
    <xf numFmtId="9" fontId="30" fillId="3" borderId="6" xfId="13" applyFont="1" applyFill="1" applyBorder="1" applyAlignment="1" applyProtection="1">
      <alignment horizontal="center" vertical="center" wrapText="1"/>
    </xf>
    <xf numFmtId="9" fontId="30" fillId="3" borderId="5" xfId="13" applyFont="1" applyFill="1" applyBorder="1" applyAlignment="1" applyProtection="1">
      <alignment horizontal="center" vertical="center" wrapText="1"/>
    </xf>
    <xf numFmtId="0" fontId="24" fillId="15" borderId="16" xfId="0" quotePrefix="1" applyFont="1" applyFill="1" applyBorder="1" applyAlignment="1">
      <alignment horizontal="left" vertical="center" wrapText="1"/>
    </xf>
    <xf numFmtId="0" fontId="24" fillId="15" borderId="5" xfId="0" quotePrefix="1" applyFont="1" applyFill="1" applyBorder="1" applyAlignment="1">
      <alignment horizontal="left" vertical="center" wrapText="1"/>
    </xf>
    <xf numFmtId="0" fontId="20" fillId="6" borderId="1" xfId="0" applyFont="1" applyFill="1" applyBorder="1" applyAlignment="1" applyProtection="1">
      <alignment horizontal="left" vertical="top" wrapText="1"/>
      <protection locked="0"/>
    </xf>
    <xf numFmtId="0" fontId="23" fillId="3" borderId="0" xfId="4" quotePrefix="1" applyFont="1" applyFill="1" applyAlignment="1">
      <alignment horizontal="center" vertical="center"/>
    </xf>
    <xf numFmtId="0" fontId="23" fillId="3" borderId="0" xfId="4" applyFont="1" applyFill="1" applyAlignment="1">
      <alignment horizontal="center" vertical="center"/>
    </xf>
    <xf numFmtId="0" fontId="21" fillId="2" borderId="11" xfId="4" quotePrefix="1" applyFont="1" applyFill="1" applyBorder="1" applyAlignment="1">
      <alignment horizontal="center" vertical="center"/>
    </xf>
    <xf numFmtId="0" fontId="21" fillId="2" borderId="11" xfId="4" applyFont="1" applyFill="1" applyBorder="1" applyAlignment="1">
      <alignment horizontal="center" vertical="center"/>
    </xf>
    <xf numFmtId="0" fontId="24" fillId="0" borderId="11" xfId="4" applyFont="1" applyBorder="1" applyAlignment="1">
      <alignment horizontal="left" vertical="center"/>
    </xf>
    <xf numFmtId="0" fontId="20" fillId="5" borderId="11" xfId="4" quotePrefix="1" applyFont="1" applyFill="1" applyBorder="1" applyAlignment="1" applyProtection="1">
      <alignment horizontal="center" vertical="center" wrapText="1"/>
      <protection locked="0"/>
    </xf>
    <xf numFmtId="0" fontId="20" fillId="5" borderId="11" xfId="4" applyFont="1" applyFill="1" applyBorder="1" applyAlignment="1" applyProtection="1">
      <alignment horizontal="center" vertical="center" wrapText="1"/>
      <protection locked="0"/>
    </xf>
    <xf numFmtId="0" fontId="20" fillId="3" borderId="2" xfId="0" quotePrefix="1" applyFont="1" applyFill="1" applyBorder="1" applyAlignment="1">
      <alignment horizontal="left" vertical="center" wrapText="1"/>
    </xf>
    <xf numFmtId="0" fontId="20" fillId="3" borderId="3" xfId="0" quotePrefix="1" applyFont="1" applyFill="1" applyBorder="1" applyAlignment="1">
      <alignment horizontal="left" vertical="center" wrapText="1"/>
    </xf>
    <xf numFmtId="0" fontId="20" fillId="3" borderId="4" xfId="0" quotePrefix="1" applyFont="1" applyFill="1" applyBorder="1" applyAlignment="1">
      <alignment horizontal="left" vertical="center" wrapText="1"/>
    </xf>
    <xf numFmtId="0" fontId="21" fillId="8" borderId="11" xfId="4" quotePrefix="1" applyFont="1" applyFill="1" applyBorder="1" applyAlignment="1">
      <alignment horizontal="left" vertical="center"/>
    </xf>
    <xf numFmtId="0" fontId="21" fillId="2" borderId="2" xfId="0" quotePrefix="1"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9" borderId="6" xfId="0" quotePrefix="1" applyFont="1" applyFill="1" applyBorder="1" applyAlignment="1">
      <alignment horizontal="center" vertical="center" textRotation="90"/>
    </xf>
    <xf numFmtId="0" fontId="21" fillId="9" borderId="5" xfId="0" quotePrefix="1" applyFont="1" applyFill="1" applyBorder="1" applyAlignment="1">
      <alignment horizontal="center" vertical="center" textRotation="90"/>
    </xf>
    <xf numFmtId="0" fontId="24" fillId="0" borderId="7" xfId="4" applyFont="1" applyBorder="1" applyAlignment="1">
      <alignment horizontal="left" vertical="center" wrapText="1"/>
    </xf>
    <xf numFmtId="0" fontId="24" fillId="0" borderId="9" xfId="4" applyFont="1" applyBorder="1" applyAlignment="1">
      <alignment horizontal="left" vertical="center" wrapText="1"/>
    </xf>
    <xf numFmtId="0" fontId="20" fillId="3" borderId="21" xfId="0" quotePrefix="1" applyFont="1" applyFill="1" applyBorder="1" applyAlignment="1">
      <alignment horizontal="left" vertical="center" wrapText="1"/>
    </xf>
    <xf numFmtId="0" fontId="20" fillId="3" borderId="22" xfId="0" quotePrefix="1" applyFont="1" applyFill="1" applyBorder="1" applyAlignment="1">
      <alignment horizontal="left" vertical="center" wrapText="1"/>
    </xf>
    <xf numFmtId="0" fontId="20" fillId="3" borderId="15" xfId="0" quotePrefix="1" applyFont="1" applyFill="1" applyBorder="1" applyAlignment="1">
      <alignment horizontal="left" vertical="center" wrapText="1"/>
    </xf>
    <xf numFmtId="0" fontId="24" fillId="0" borderId="1" xfId="4" applyFont="1" applyBorder="1" applyAlignment="1">
      <alignment horizontal="left" vertical="center" wrapText="1"/>
    </xf>
    <xf numFmtId="0" fontId="24" fillId="0" borderId="11" xfId="4" quotePrefix="1" applyFont="1" applyBorder="1" applyAlignment="1">
      <alignment horizontal="left" vertical="center"/>
    </xf>
    <xf numFmtId="0" fontId="24" fillId="0" borderId="1" xfId="4" quotePrefix="1" applyFont="1" applyBorder="1" applyAlignment="1">
      <alignment horizontal="left" vertical="center" wrapText="1"/>
    </xf>
    <xf numFmtId="0" fontId="21" fillId="8" borderId="7" xfId="4" applyFont="1" applyFill="1" applyBorder="1" applyAlignment="1">
      <alignment horizontal="left" vertical="center"/>
    </xf>
    <xf numFmtId="0" fontId="21" fillId="8" borderId="8" xfId="4" applyFont="1" applyFill="1" applyBorder="1" applyAlignment="1">
      <alignment horizontal="left" vertical="center"/>
    </xf>
    <xf numFmtId="0" fontId="21" fillId="8" borderId="9" xfId="4" applyFont="1" applyFill="1" applyBorder="1" applyAlignment="1">
      <alignment horizontal="left" vertical="center"/>
    </xf>
    <xf numFmtId="0" fontId="20" fillId="3" borderId="16" xfId="0" quotePrefix="1" applyFont="1" applyFill="1" applyBorder="1" applyAlignment="1">
      <alignment horizontal="left" vertical="center" wrapText="1"/>
    </xf>
    <xf numFmtId="0" fontId="20" fillId="3" borderId="6" xfId="0" applyFont="1" applyFill="1" applyBorder="1" applyAlignment="1">
      <alignment horizontal="left" vertical="center" wrapText="1"/>
    </xf>
    <xf numFmtId="0" fontId="20" fillId="3" borderId="5" xfId="0" applyFont="1" applyFill="1" applyBorder="1" applyAlignment="1">
      <alignment horizontal="left" vertical="center" wrapText="1"/>
    </xf>
    <xf numFmtId="0" fontId="20" fillId="3" borderId="1" xfId="0" applyFont="1" applyFill="1" applyBorder="1" applyAlignment="1">
      <alignment horizontal="left" vertical="center" wrapText="1"/>
    </xf>
    <xf numFmtId="0" fontId="24" fillId="0" borderId="2" xfId="4" applyFont="1" applyBorder="1" applyAlignment="1">
      <alignment horizontal="left" vertical="center" wrapText="1"/>
    </xf>
    <xf numFmtId="0" fontId="23" fillId="3" borderId="19" xfId="4" applyFont="1" applyFill="1" applyBorder="1" applyAlignment="1">
      <alignment horizontal="center" vertical="center"/>
    </xf>
    <xf numFmtId="0" fontId="21" fillId="11" borderId="6" xfId="0" applyFont="1" applyFill="1" applyBorder="1" applyAlignment="1">
      <alignment horizontal="center" vertical="center" textRotation="90" wrapText="1"/>
    </xf>
    <xf numFmtId="0" fontId="21" fillId="11" borderId="5" xfId="0" applyFont="1" applyFill="1" applyBorder="1" applyAlignment="1">
      <alignment horizontal="center" vertical="center" textRotation="90" wrapText="1"/>
    </xf>
    <xf numFmtId="0" fontId="20" fillId="3" borderId="3" xfId="0" applyFont="1" applyFill="1" applyBorder="1" applyAlignment="1">
      <alignment horizontal="left" vertical="center" wrapText="1"/>
    </xf>
    <xf numFmtId="0" fontId="20" fillId="3" borderId="4" xfId="0" applyFont="1" applyFill="1" applyBorder="1" applyAlignment="1">
      <alignment horizontal="left" vertical="center" wrapText="1"/>
    </xf>
    <xf numFmtId="0" fontId="21" fillId="12" borderId="6" xfId="0" applyFont="1" applyFill="1" applyBorder="1" applyAlignment="1">
      <alignment horizontal="center" vertical="center" textRotation="90"/>
    </xf>
    <xf numFmtId="0" fontId="21" fillId="12" borderId="5" xfId="0" applyFont="1" applyFill="1" applyBorder="1" applyAlignment="1">
      <alignment horizontal="center" vertical="center" textRotation="90"/>
    </xf>
    <xf numFmtId="0" fontId="17" fillId="2" borderId="11" xfId="4" quotePrefix="1" applyFont="1" applyFill="1" applyBorder="1" applyAlignment="1">
      <alignment horizontal="center" vertical="center"/>
    </xf>
    <xf numFmtId="0" fontId="17" fillId="2" borderId="11" xfId="4" applyFont="1" applyFill="1" applyBorder="1" applyAlignment="1">
      <alignment horizontal="center" vertical="center"/>
    </xf>
    <xf numFmtId="0" fontId="21" fillId="2" borderId="1" xfId="0" quotePrefix="1"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11" borderId="1" xfId="0" quotePrefix="1" applyFont="1" applyFill="1" applyBorder="1" applyAlignment="1">
      <alignment horizontal="center" vertical="center" textRotation="90" wrapText="1"/>
    </xf>
    <xf numFmtId="0" fontId="21" fillId="11" borderId="1" xfId="0" applyFont="1" applyFill="1" applyBorder="1" applyAlignment="1">
      <alignment horizontal="center" vertical="center" textRotation="90" wrapText="1"/>
    </xf>
    <xf numFmtId="0" fontId="21" fillId="9" borderId="1" xfId="0" quotePrefix="1" applyFont="1" applyFill="1" applyBorder="1" applyAlignment="1">
      <alignment horizontal="center" vertical="center" textRotation="90"/>
    </xf>
    <xf numFmtId="0" fontId="21" fillId="9" borderId="1" xfId="0" applyFont="1" applyFill="1" applyBorder="1" applyAlignment="1">
      <alignment horizontal="center" vertical="center" textRotation="90"/>
    </xf>
    <xf numFmtId="0" fontId="21" fillId="12" borderId="1" xfId="0" quotePrefix="1" applyFont="1" applyFill="1" applyBorder="1" applyAlignment="1">
      <alignment horizontal="center" vertical="center" textRotation="90"/>
    </xf>
    <xf numFmtId="0" fontId="21" fillId="12" borderId="1" xfId="0" applyFont="1" applyFill="1" applyBorder="1" applyAlignment="1">
      <alignment horizontal="center" vertical="center" textRotation="90"/>
    </xf>
    <xf numFmtId="0" fontId="21" fillId="4" borderId="1" xfId="0" applyFont="1" applyFill="1" applyBorder="1" applyAlignment="1">
      <alignment horizontal="center" vertical="center" textRotation="90"/>
    </xf>
    <xf numFmtId="0" fontId="31" fillId="4" borderId="11" xfId="0" applyFont="1" applyFill="1" applyBorder="1" applyAlignment="1">
      <alignment horizontal="center" wrapText="1"/>
    </xf>
    <xf numFmtId="0" fontId="31" fillId="13" borderId="7" xfId="0" quotePrefix="1" applyFont="1" applyFill="1" applyBorder="1" applyAlignment="1">
      <alignment horizontal="center" wrapText="1"/>
    </xf>
    <xf numFmtId="0" fontId="31" fillId="13" borderId="8" xfId="0" quotePrefix="1" applyFont="1" applyFill="1" applyBorder="1" applyAlignment="1">
      <alignment horizontal="center" wrapText="1"/>
    </xf>
    <xf numFmtId="0" fontId="31" fillId="13" borderId="9" xfId="0" quotePrefix="1" applyFont="1" applyFill="1" applyBorder="1" applyAlignment="1">
      <alignment horizontal="center" wrapText="1"/>
    </xf>
    <xf numFmtId="0" fontId="31" fillId="2" borderId="0" xfId="0" applyFont="1" applyFill="1" applyAlignment="1">
      <alignment horizontal="left" vertical="center"/>
    </xf>
    <xf numFmtId="0" fontId="31" fillId="9" borderId="11" xfId="0" applyFont="1" applyFill="1" applyBorder="1" applyAlignment="1">
      <alignment horizontal="center" wrapText="1"/>
    </xf>
    <xf numFmtId="0" fontId="31" fillId="11" borderId="11" xfId="0" applyFont="1" applyFill="1" applyBorder="1" applyAlignment="1">
      <alignment horizontal="center" wrapText="1"/>
    </xf>
    <xf numFmtId="0" fontId="31" fillId="12" borderId="11" xfId="0" applyFont="1" applyFill="1" applyBorder="1" applyAlignment="1">
      <alignment horizontal="center" wrapText="1"/>
    </xf>
    <xf numFmtId="0" fontId="29" fillId="9" borderId="0" xfId="0" applyFont="1" applyFill="1" applyAlignment="1">
      <alignment horizontal="center" vertical="center"/>
    </xf>
  </cellXfs>
  <cellStyles count="18">
    <cellStyle name="Hyperlink" xfId="12" builtinId="8"/>
    <cellStyle name="Normal" xfId="0" builtinId="0"/>
    <cellStyle name="Normal 2" xfId="1" xr:uid="{00000000-0005-0000-0000-000002000000}"/>
    <cellStyle name="Normal 2 2" xfId="5" xr:uid="{F6AF217A-1206-42D1-B830-C8B45ABEDC49}"/>
    <cellStyle name="Normal 3" xfId="2" xr:uid="{00000000-0005-0000-0000-000003000000}"/>
    <cellStyle name="Normal 3 2" xfId="7" xr:uid="{9F81173D-7E81-41C2-AED1-6BE6F29819B9}"/>
    <cellStyle name="Normal 4" xfId="3" xr:uid="{86188839-8636-4235-90B9-B17A03425990}"/>
    <cellStyle name="Normal 4 2" xfId="8" xr:uid="{6DB29156-44E6-4435-828E-9719B6C151E6}"/>
    <cellStyle name="Normal 4 3" xfId="14" xr:uid="{144B754E-01D6-4F0A-979D-42D49BC9498E}"/>
    <cellStyle name="Normal 4 4" xfId="15" xr:uid="{F31B59A4-A78C-4B6F-B123-DAB8A0C176BE}"/>
    <cellStyle name="Normal 4 5" xfId="17" xr:uid="{1A36A6D2-51A2-4614-B5EB-9B7765E8C2BC}"/>
    <cellStyle name="Normal 5" xfId="4" xr:uid="{6FF3504C-3D62-4C9B-A03E-4B0B01258F8B}"/>
    <cellStyle name="Normal 5 2" xfId="9" xr:uid="{2D0ED184-17B0-44A1-852B-904948105F3E}"/>
    <cellStyle name="Normal 5 3" xfId="16" xr:uid="{A040B755-3E20-4B05-961D-7C4DA80FCE4B}"/>
    <cellStyle name="Normal 6" xfId="11" xr:uid="{6173A126-4F31-4FEA-A7D1-2FE3C5A4521D}"/>
    <cellStyle name="Percent" xfId="13" builtinId="5"/>
    <cellStyle name="Percent 2" xfId="6" xr:uid="{B7AD9F7F-01C0-4DD1-94D3-6618B139E650}"/>
    <cellStyle name="Percent 2 2" xfId="10" xr:uid="{D4F4FD8C-D9DE-4E17-9DFE-3EBE0F9D83A8}"/>
  </cellStyles>
  <dxfs count="558">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theme="0" tint="-0.14999847407452621"/>
          <bgColor theme="0" tint="-0.14999847407452621"/>
        </patternFill>
      </fill>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dxf>
    <dxf>
      <font>
        <b val="0"/>
        <i val="0"/>
        <strike val="0"/>
        <condense val="0"/>
        <extend val="0"/>
        <outline val="0"/>
        <shadow val="0"/>
        <u val="none"/>
        <vertAlign val="baseline"/>
        <sz val="9"/>
        <color theme="1"/>
        <name val="Calibri"/>
        <family val="2"/>
        <scheme val="minor"/>
      </font>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alignment horizontal="left" vertical="bottom" textRotation="0" wrapText="0" indent="0" justifyLastLine="0" shrinkToFit="0" readingOrder="0"/>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dxf>
    <dxf>
      <font>
        <b val="0"/>
        <i val="0"/>
        <strike val="0"/>
        <condense val="0"/>
        <extend val="0"/>
        <outline val="0"/>
        <shadow val="0"/>
        <u val="none"/>
        <vertAlign val="baseline"/>
        <sz val="9"/>
        <color theme="1"/>
        <name val="Calibri"/>
        <family val="2"/>
        <scheme val="minor"/>
      </font>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4" tint="0.59999389629810485"/>
        </patternFill>
      </fill>
      <border diagonalUp="0" diagonalDown="0" outline="0">
        <left/>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dxf>
    <dxf>
      <font>
        <b val="0"/>
        <i val="0"/>
        <strike val="0"/>
        <condense val="0"/>
        <extend val="0"/>
        <outline val="0"/>
        <shadow val="0"/>
        <u val="none"/>
        <vertAlign val="baseline"/>
        <sz val="9"/>
        <color theme="1"/>
        <name val="Calibri"/>
        <family val="2"/>
        <scheme val="minor"/>
      </font>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dxf>
    <dxf>
      <border outline="0">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4" tint="0.59999389629810485"/>
        </patternFill>
      </fill>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fill>
        <patternFill patternType="solid">
          <fgColor theme="0" tint="-0.14999847407452621"/>
          <bgColor theme="0" tint="-0.14999847407452621"/>
        </patternFill>
      </fill>
      <alignment horizontal="general"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fill>
        <patternFill patternType="solid">
          <fgColor theme="0" tint="-0.14999847407452621"/>
          <bgColor theme="0" tint="-0.14999847407452621"/>
        </patternFill>
      </fill>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strike val="0"/>
        <outline val="0"/>
        <shadow val="0"/>
        <u val="none"/>
        <vertAlign val="baseline"/>
        <sz val="9"/>
        <color theme="1"/>
        <name val="Arial"/>
        <family val="2"/>
        <scheme val="none"/>
      </font>
      <alignment horizontal="general" vertical="bottom" textRotation="0" wrapText="1" indent="0" justifyLastLine="0" shrinkToFit="0" readingOrder="0"/>
    </dxf>
    <dxf>
      <font>
        <outline val="0"/>
        <shadow val="0"/>
        <u val="none"/>
        <vertAlign val="baseline"/>
        <sz val="9"/>
      </font>
      <alignment horizontal="general"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left" vertical="center" textRotation="0" wrapText="1" indent="0" justifyLastLine="0" shrinkToFit="0" readingOrder="0"/>
      <border diagonalUp="0" diagonalDown="0" outline="0">
        <left/>
        <right/>
        <top style="medium">
          <color indexed="64"/>
        </top>
        <bottom style="medium">
          <color indexed="64"/>
        </bottom>
      </border>
    </dxf>
    <dxf>
      <border outline="0">
        <top style="medium">
          <color indexed="64"/>
        </top>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9"/>
        <color theme="1"/>
        <name val="Arial"/>
        <family val="2"/>
        <scheme val="none"/>
      </font>
      <alignment horizontal="left"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9"/>
        <color theme="1"/>
        <name val="Arial"/>
        <family val="2"/>
        <scheme val="none"/>
      </font>
      <fill>
        <patternFill patternType="solid">
          <fgColor indexed="64"/>
          <bgColor theme="3" tint="0.59999389629810485"/>
        </patternFill>
      </fill>
      <alignment horizontal="left" vertical="center" textRotation="0" wrapText="1" indent="0" justifyLastLine="0" shrinkToFit="0" readingOrder="0"/>
    </dxf>
    <dxf>
      <font>
        <color rgb="FF9C0006"/>
      </font>
      <fill>
        <patternFill>
          <bgColor rgb="FFFFC7CE"/>
        </patternFill>
      </fill>
    </dxf>
    <dxf>
      <font>
        <color rgb="FFA50021"/>
      </font>
      <fill>
        <patternFill>
          <bgColor rgb="FFFFC7CE"/>
        </patternFill>
      </fill>
    </dxf>
    <dxf>
      <font>
        <color rgb="FFA50021"/>
      </font>
      <fill>
        <patternFill>
          <bgColor rgb="FFFFC7CE"/>
        </patternFill>
      </fill>
    </dxf>
    <dxf>
      <font>
        <color rgb="FFA50021"/>
      </font>
      <fill>
        <patternFill>
          <bgColor rgb="FFFFC7CE"/>
        </patternFill>
      </fill>
    </dxf>
    <dxf>
      <font>
        <color theme="0"/>
      </font>
      <fill>
        <patternFill>
          <fgColor theme="0"/>
          <bgColor theme="0"/>
        </patternFill>
      </fill>
      <border>
        <left/>
        <right/>
        <top/>
        <bottom/>
        <vertical/>
        <horizontal/>
      </border>
    </dxf>
    <dxf>
      <font>
        <color rgb="FF9C0006"/>
      </font>
      <fill>
        <patternFill>
          <bgColor rgb="FFFFC7CE"/>
        </patternFill>
      </fill>
    </dxf>
    <dxf>
      <font>
        <color theme="0"/>
      </font>
      <fill>
        <patternFill>
          <fgColor theme="0"/>
          <bgColor theme="0"/>
        </patternFill>
      </fill>
      <border>
        <left/>
        <right/>
        <top/>
        <bottom/>
        <vertical/>
        <horizontal/>
      </border>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5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fgColor theme="0"/>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D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rgb="FFA50021"/>
      </font>
      <fill>
        <patternFill>
          <bgColor rgb="FFFFC7CE"/>
        </patternFill>
      </fill>
    </dxf>
    <dxf>
      <font>
        <color rgb="FFA50021"/>
      </font>
      <fill>
        <patternFill>
          <bgColor rgb="FFFFC7CE"/>
        </patternFill>
      </fill>
    </dxf>
    <dxf>
      <font>
        <color rgb="FFA50021"/>
      </font>
      <fill>
        <patternFill>
          <bgColor rgb="FFFFC7CE"/>
        </patternFill>
      </fill>
    </dxf>
    <dxf>
      <font>
        <color rgb="FFA50021"/>
      </font>
      <fill>
        <patternFill>
          <bgColor rgb="FFFFC7CE"/>
        </patternFill>
      </fill>
    </dxf>
    <dxf>
      <font>
        <color theme="0"/>
      </font>
      <fill>
        <patternFill>
          <fgColor theme="0"/>
          <bgColor theme="0"/>
        </patternFill>
      </fill>
      <border>
        <left/>
        <right/>
        <top/>
        <bottom/>
        <vertical/>
        <horizontal/>
      </border>
    </dxf>
    <dxf>
      <font>
        <color rgb="FFA50021"/>
      </font>
      <fill>
        <patternFill>
          <bgColor rgb="FFFFC7CE"/>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style="thin">
          <color auto="1"/>
        </top>
        <bottom/>
        <vertical/>
        <horizontal/>
      </border>
    </dxf>
    <dxf>
      <font>
        <color rgb="FFA50021"/>
      </font>
      <fill>
        <patternFill>
          <bgColor rgb="FFFFC7CE"/>
        </patternFill>
      </fill>
    </dxf>
    <dxf>
      <font>
        <color theme="0"/>
      </font>
      <fill>
        <patternFill>
          <fgColor theme="0"/>
          <bgColor theme="0"/>
        </patternFill>
      </fill>
      <border>
        <left/>
        <right/>
        <top/>
        <bottom/>
        <vertical/>
        <horizontal/>
      </border>
    </dxf>
    <dxf>
      <font>
        <color rgb="FFA50021"/>
      </font>
      <fill>
        <patternFill>
          <bgColor rgb="FFFFC7CE"/>
        </patternFill>
      </fill>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rgb="FF9C0006"/>
      </font>
      <fill>
        <patternFill>
          <bgColor rgb="FFFFC7CE"/>
        </patternFill>
      </fill>
    </dxf>
    <dxf>
      <font>
        <color rgb="FFA50021"/>
      </font>
      <fill>
        <patternFill>
          <bgColor rgb="FFFFC7CE"/>
        </patternFill>
      </fill>
    </dxf>
    <dxf>
      <font>
        <color rgb="FFA50021"/>
      </font>
      <fill>
        <patternFill>
          <bgColor rgb="FFFFC7CE"/>
        </patternFill>
      </fill>
    </dxf>
    <dxf>
      <font>
        <color rgb="FFA50021"/>
      </font>
      <fill>
        <patternFill>
          <bgColor rgb="FFFFC7CE"/>
        </patternFill>
      </fill>
    </dxf>
    <dxf>
      <font>
        <color rgb="FFA50021"/>
      </font>
      <fill>
        <patternFill>
          <bgColor rgb="FFFFC7CE"/>
        </patternFill>
      </fill>
    </dxf>
    <dxf>
      <font>
        <color theme="0"/>
      </font>
      <fill>
        <patternFill>
          <fgColor theme="0"/>
          <bgColor theme="0"/>
        </patternFill>
      </fill>
      <border>
        <left/>
        <right/>
        <top/>
        <bottom/>
        <vertical/>
        <horizontal/>
      </border>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5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fgColor theme="0"/>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D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rgb="FFA50021"/>
      </font>
      <fill>
        <patternFill>
          <bgColor rgb="FFFFC7CE"/>
        </patternFill>
      </fill>
    </dxf>
    <dxf>
      <font>
        <color theme="0"/>
      </font>
      <fill>
        <patternFill>
          <fgColor theme="0"/>
          <bgColor theme="0"/>
        </patternFill>
      </fill>
      <border>
        <left/>
        <right/>
        <top/>
        <bottom/>
        <vertical/>
        <horizontal/>
      </border>
    </dxf>
    <dxf>
      <font>
        <color rgb="FFA50021"/>
      </font>
      <fill>
        <patternFill>
          <bgColor rgb="FFFFC7CE"/>
        </patternFill>
      </fill>
    </dxf>
    <dxf>
      <font>
        <color rgb="FFA50021"/>
      </font>
      <fill>
        <patternFill>
          <bgColor rgb="FFFFC7CE"/>
        </patternFill>
      </fill>
    </dxf>
    <dxf>
      <font>
        <color rgb="FFA50021"/>
      </font>
      <fill>
        <patternFill>
          <bgColor rgb="FFFFC7CE"/>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style="thin">
          <color auto="1"/>
        </top>
        <bottom/>
        <vertical/>
        <horizontal/>
      </border>
    </dxf>
    <dxf>
      <font>
        <color rgb="FFA50021"/>
      </font>
      <fill>
        <patternFill>
          <bgColor rgb="FFFFC7CE"/>
        </patternFill>
      </fill>
    </dxf>
    <dxf>
      <font>
        <color theme="0"/>
      </font>
      <fill>
        <patternFill>
          <fgColor theme="0"/>
          <bgColor theme="0"/>
        </patternFill>
      </fill>
      <border>
        <left/>
        <right/>
        <top/>
        <bottom/>
        <vertical/>
        <horizontal/>
      </border>
    </dxf>
    <dxf>
      <font>
        <color rgb="FFA50021"/>
      </font>
      <fill>
        <patternFill>
          <bgColor rgb="FFFFC7CE"/>
        </patternFill>
      </fill>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rgb="FF9C0006"/>
      </font>
      <fill>
        <patternFill>
          <bgColor rgb="FFFFC7CE"/>
        </patternFill>
      </fill>
    </dxf>
    <dxf>
      <font>
        <color rgb="FFA50021"/>
      </font>
      <fill>
        <patternFill>
          <bgColor rgb="FFFFC7CE"/>
        </patternFill>
      </fill>
    </dxf>
    <dxf>
      <font>
        <color theme="1"/>
      </font>
      <fill>
        <patternFill>
          <fgColor theme="1"/>
          <bgColor rgb="FFFFFF00"/>
        </patternFill>
      </fill>
      <border>
        <vertical/>
        <horizontal/>
      </border>
    </dxf>
    <dxf>
      <font>
        <color rgb="FFA50021"/>
      </font>
      <fill>
        <patternFill>
          <bgColor rgb="FFFFC7CE"/>
        </patternFill>
      </fill>
    </dxf>
    <dxf>
      <font>
        <color rgb="FFA50021"/>
      </font>
      <fill>
        <patternFill>
          <bgColor rgb="FFFFC7CE"/>
        </patternFill>
      </fill>
    </dxf>
    <dxf>
      <font>
        <color rgb="FFA50021"/>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5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fgColor theme="0"/>
          <bgColor rgb="FFC6EFCE"/>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style="thin">
          <color auto="1"/>
        </top>
        <bottom/>
        <vertical/>
        <horizontal/>
      </border>
    </dxf>
    <dxf>
      <font>
        <color rgb="FFA50021"/>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D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rgb="FFA50021"/>
      </font>
      <fill>
        <patternFill>
          <bgColor rgb="FFFFC7CE"/>
        </patternFill>
      </fill>
    </dxf>
    <dxf>
      <font>
        <color rgb="FFA50021"/>
      </font>
      <fill>
        <patternFill>
          <bgColor rgb="FFFFC7CE"/>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fgColor theme="0"/>
          <bgColor theme="0"/>
        </patternFill>
      </fill>
      <border>
        <left style="thin">
          <color auto="1"/>
        </left>
        <right style="thin">
          <color auto="1"/>
        </right>
        <top style="thin">
          <color auto="1"/>
        </top>
        <bottom/>
        <vertical/>
        <horizontal/>
      </border>
    </dxf>
    <dxf>
      <font>
        <color theme="0"/>
      </font>
      <fill>
        <patternFill>
          <fgColor theme="0"/>
          <bgColor theme="0"/>
        </patternFill>
      </fill>
      <border>
        <left style="thin">
          <color auto="1"/>
        </left>
        <right/>
        <top/>
        <bottom/>
        <vertical/>
        <horizontal/>
      </border>
    </dxf>
    <dxf>
      <font>
        <color rgb="FFA50021"/>
      </font>
      <fill>
        <patternFill>
          <bgColor rgb="FFFFC7CE"/>
        </patternFill>
      </fill>
      <border>
        <left style="thin">
          <color auto="1"/>
        </left>
        <right style="thin">
          <color auto="1"/>
        </right>
        <top style="thin">
          <color auto="1"/>
        </top>
        <bottom style="thin">
          <color auto="1"/>
        </bottom>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right style="thin">
          <color auto="1"/>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style="thin">
          <color auto="1"/>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style="thin">
          <color auto="1"/>
        </left>
        <right style="thin">
          <color auto="1"/>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style="thin">
          <color auto="1"/>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style="thin">
          <color auto="1"/>
        </top>
        <bottom style="thin">
          <color auto="1"/>
        </bottom>
        <vertical/>
        <horizontal/>
      </border>
    </dxf>
    <dxf>
      <font>
        <color theme="0"/>
      </font>
      <fill>
        <patternFill>
          <fgColor theme="0"/>
          <bgColor theme="0"/>
        </patternFill>
      </fill>
      <border>
        <left/>
        <right/>
        <top/>
        <bottom style="thin">
          <color auto="1"/>
        </bottom>
        <vertical/>
        <horizontal/>
      </border>
    </dxf>
    <dxf>
      <font>
        <color theme="0"/>
      </font>
      <fill>
        <patternFill>
          <fgColor theme="0"/>
          <bgColor theme="0"/>
        </patternFill>
      </fill>
      <border>
        <left/>
        <right/>
        <top style="thin">
          <color auto="1"/>
        </top>
        <bottom/>
        <vertical/>
        <horizontal/>
      </border>
    </dxf>
    <dxf>
      <font>
        <color theme="0"/>
      </font>
      <fill>
        <patternFill>
          <fgColor theme="0"/>
          <bgColor theme="0"/>
        </patternFill>
      </fill>
      <border>
        <left/>
        <right/>
        <top style="thin">
          <color auto="1"/>
        </top>
        <bottom style="thin">
          <color auto="1"/>
        </bottom>
        <vertical/>
        <horizontal/>
      </border>
    </dxf>
    <dxf>
      <font>
        <color theme="0"/>
      </font>
      <fill>
        <patternFill>
          <fgColor theme="0"/>
          <bgColor theme="0"/>
        </patternFill>
      </fill>
      <border>
        <left/>
        <right/>
        <top style="thin">
          <color auto="1"/>
        </top>
        <bottom/>
        <vertical/>
        <horizontal/>
      </border>
    </dxf>
    <dxf>
      <font>
        <color theme="0"/>
      </font>
      <fill>
        <patternFill>
          <fgColor theme="0"/>
          <bgColor theme="0"/>
        </patternFill>
      </fill>
      <border>
        <left/>
        <right/>
        <top/>
        <bottom style="thin">
          <color auto="1"/>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style="thin">
          <color auto="1"/>
        </top>
        <bottom style="thin">
          <color auto="1"/>
        </bottom>
        <vertical/>
        <horizontal/>
      </border>
    </dxf>
    <dxf>
      <font>
        <color theme="0"/>
      </font>
      <fill>
        <patternFill>
          <fgColor theme="0"/>
          <bgColor theme="0"/>
        </patternFill>
      </fill>
      <border>
        <left/>
        <right/>
        <top/>
        <bottom style="thin">
          <color auto="1"/>
        </bottom>
        <vertical/>
        <horizontal/>
      </border>
    </dxf>
    <dxf>
      <font>
        <color theme="0"/>
      </font>
      <fill>
        <patternFill>
          <fgColor theme="0"/>
          <bgColor theme="0"/>
        </patternFill>
      </fill>
      <border>
        <left/>
        <right/>
        <top style="thin">
          <color auto="1"/>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style="thin">
          <color auto="1"/>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rgb="FFFFFF00"/>
        </patternFill>
      </fill>
    </dxf>
    <dxf>
      <fill>
        <patternFill>
          <bgColor rgb="FF92D050"/>
        </patternFill>
      </fill>
    </dxf>
    <dxf>
      <fill>
        <patternFill>
          <bgColor rgb="FF00B0F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bgColor rgb="FFFFC000"/>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2" defaultTableStyle="TableStyleMedium2" defaultPivotStyle="PivotStyleLight16">
    <tableStyle name="Invisible" pivot="0" table="0" count="0" xr9:uid="{06F98779-6E23-4949-8821-07D9BA0EB5E3}"/>
    <tableStyle name="Table Style 1" pivot="0" count="0" xr9:uid="{1F810DD5-BF33-4EF2-B836-5DF89E10B12E}"/>
  </tableStyles>
  <colors>
    <mruColors>
      <color rgb="FF9C0006"/>
      <color rgb="FFFFC7CE"/>
      <color rgb="FFFF9CC7"/>
      <color rgb="FF9C0000"/>
      <color rgb="FFFF33CC"/>
      <color rgb="FFA50021"/>
      <color rgb="FF996633"/>
      <color rgb="FF336600"/>
      <color rgb="FFB3B379"/>
      <color rgb="FFE7FA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4">
    <xsd:schema xmlns:xsd="http://www.w3.org/2001/XMLSchema" xmlns="">
      <xsd:element nillable="true" name="data-set">
        <xsd:complexType>
          <xsd:sequence minOccurs="0">
            <xsd:element minOccurs="0" nillable="true" name="EPA" form="unqualified">
              <xsd:complexType>
                <xsd:sequence minOccurs="0">
                  <xsd:element minOccurs="0" nillable="true" type="xsd:string" name="RegionalTeam" form="unqualified"/>
                  <xsd:element minOccurs="0" nillable="true" type="xsd:string" name="CCM" form="unqualified"/>
                  <xsd:element minOccurs="0" nillable="true" type="xsd:date" name="AssessmentDate" form="unqualified"/>
                  <xsd:element minOccurs="0" nillable="true" type="xsd:string" name="Type" form="unqualified"/>
                  <xsd:element minOccurs="0" nillable="true" type="xsd:string" name="FileID" form="unqualified"/>
                  <xsd:element minOccurs="0" nillable="true" name="Assessment" form="unqualified">
                    <xsd:complexType>
                      <xsd:sequence minOccurs="0">
                        <xsd:element minOccurs="0" maxOccurs="unbounded" nillable="true" name="Compliance" form="unqualified">
                          <xsd:complexType>
                            <xsd:sequence minOccurs="0">
                              <xsd:element minOccurs="0" nillable="true" type="xsd:string" name="Attachments" form="unqualified"/>
                              <xsd:element minOccurs="0" nillable="true" type="xsd:string" name="InitialRating" form="unqualified"/>
                              <xsd:element minOccurs="0" nillable="true" type="xsd:string" name="Comments" form="unqualified"/>
                              <xsd:element minOccurs="0" nillable="true" type="xsd:integer" name="Indicator" form="unqualified"/>
                            </xsd:sequence>
                          </xsd:complexType>
                        </xsd:element>
                      </xsd:sequence>
                    </xsd:complexType>
                  </xsd:element>
                  <xsd:element minOccurs="0" nillable="true" type="xsd:string" name="LegalEntity" form="unqualified"/>
                  <xsd:element minOccurs="0" nillable="true" type="xsd:date" name="EndOfTermsDate" form="unqualified"/>
                  <xsd:element minOccurs="0" nillable="true" type="xsd:date" name="NextElectionsDate" form="unqualified"/>
                  <xsd:element minOccurs="0" nillable="true" type="xsd:integer" name="NumberOfMembers" form="unqualified"/>
                  <xsd:element minOccurs="0" nillable="true" type="xsd:integer" name="Male" form="unqualified"/>
                  <xsd:element minOccurs="0" nillable="true" type="xsd:integer" name="Female" form="unqualified"/>
                  <xsd:element minOccurs="0" nillable="true" type="xsd:integer" name="Other" form="unqualified"/>
                  <xsd:element minOccurs="0" nillable="true" type="xsd:string" name="MembershipDistribution" form="unqualified"/>
                  <xsd:element minOccurs="0" nillable="true" type="xsd:string" name="StructuralUnits" form="unqualified"/>
                  <xsd:element minOccurs="0" nillable="true" type="xsd:string" name="SecAvailable" form="unqualified"/>
                  <xsd:element minOccurs="0" nillable="true" type="xsd:string" name="NumberOfStaff" form="unqualified"/>
                  <xsd:element minOccurs="0" nillable="true" type="xsd:string" name="WebsiteAvailable" form="unqualified"/>
                  <xsd:element minOccurs="0" nillable="true" type="xsd:string" name="WebsiteAddress" form="unqualified"/>
                  <xsd:element minOccurs="0" nillable="true" type="xsd:string" name="CCMFundingAvailable" form="unqualified"/>
                  <xsd:element minOccurs="0" nillable="true" type="xsd:integer" name="CCMFundingAmount" form="unqualified"/>
                  <xsd:element minOccurs="0" nillable="true" type="xsd:date" name="CCMFundingDate" form="unqualified"/>
                  <xsd:element minOccurs="0" nillable="true" type="xsd:string" name="CCMContext" form="unqualified"/>
                  <xsd:element minOccurs="0" nillable="true" type="xsd:date" name="CRMUpdateDate" form="unqualified"/>
                  <xsd:element minOccurs="0" nillable="true" name="ImrpovementPlan" form="unqualified">
                    <xsd:complexType>
                      <xsd:sequence minOccurs="0">
                        <xsd:element minOccurs="0" maxOccurs="unbounded" nillable="true" name="ImprovementPlanItem" form="unqualified">
                          <xsd:complexType>
                            <xsd:sequence minOccurs="0">
                              <xsd:element minOccurs="0" nillable="true" type="xsd:string" name="Thematic" form="unqualified"/>
                              <xsd:element minOccurs="0" nillable="true" type="xsd:string" name="Milestones" form="unqualified"/>
                              <xsd:element minOccurs="0" nillable="true" type="xsd:string" name="Activities" form="unqualified"/>
                              <xsd:element minOccurs="0" nillable="true" type="xsd:date" name="TargetDates" form="unqualified"/>
                              <xsd:element minOccurs="0" nillable="true" type="xsd:string" name="Status" form="unqualified"/>
                              <xsd:element minOccurs="0" nillable="true" type="xsd:string" name="TANeed" form="unqualified"/>
                              <xsd:element minOccurs="0" nillable="true" type="xsd:string" name="TASource" form="unqualified"/>
                              <xsd:element minOccurs="0" nillable="true" type="xsd:string" name="FSNeed" form="unqualified"/>
                              <xsd:element minOccurs="0" nillable="true" type="xsd:string" name="FSAmount" form="unqualified"/>
                              <xsd:element minOccurs="0" nillable="true" type="xsd:string" name="Priority" form="unqualified"/>
                              <xsd:element minOccurs="0" nillable="true" type="xsd:string" name="Comments" form="unqualified"/>
                              <xsd:element minOccurs="0" nillable="true" type="xsd:date" name="CommentDate" form="unqualified"/>
                              <xsd:element minOccurs="0" nillable="true" type="xsd:string" name="CommentUser" form="unqualified"/>
                              <xsd:element minOccurs="0" nillable="true" type="xsd:string" name="AttachmentLink" form="unqualified"/>
                              <xsd:element minOccurs="0" nillable="true" type="xsd:string" name="IndicatorLink" form="unqualified"/>
                            </xsd:sequence>
                          </xsd:complexType>
                        </xsd:element>
                      </xsd:sequence>
                    </xsd:complexType>
                  </xsd:element>
                </xsd:sequence>
              </xsd:complexType>
            </xsd:element>
          </xsd:sequence>
        </xsd:complexType>
      </xsd:element>
    </xsd:schema>
  </Schema>
  <Map ID="4" Name="data-set_Map" RootElement="data-set" SchemaID="Schema4" ShowImportExportValidationErrors="false" AutoFit="true" Append="false" PreserveSortAFLayout="true" PreserveFormat="true">
    <DataBinding FileBinding="true" ConnectionID="4" DataBindingLoadMode="1"/>
  </Map>
</MapInfo>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21" Type="http://schemas.openxmlformats.org/officeDocument/2006/relationships/externalLink" Target="externalLinks/externalLink10.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calcChain" Target="calcChain.xml"/><Relationship Id="rId37" Type="http://schemas.openxmlformats.org/officeDocument/2006/relationships/xmlMaps" Target="xmlMaps.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connections" Target="connections.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theme" Target="theme/theme1.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Arial" panose="020B0604020202020204" pitchFamily="34" charset="0"/>
                <a:ea typeface="+mn-ea"/>
                <a:cs typeface="Arial" panose="020B0604020202020204" pitchFamily="34" charset="0"/>
              </a:defRPr>
            </a:pPr>
            <a:r>
              <a:rPr lang="en-US">
                <a:solidFill>
                  <a:schemeClr val="tx1"/>
                </a:solidFill>
                <a:latin typeface="Arial" panose="020B0604020202020204" pitchFamily="34" charset="0"/>
                <a:cs typeface="Arial" panose="020B0604020202020204" pitchFamily="34" charset="0"/>
              </a:rPr>
              <a:t>Summary</a:t>
            </a:r>
            <a:r>
              <a:rPr lang="en-US" baseline="0">
                <a:solidFill>
                  <a:schemeClr val="tx1"/>
                </a:solidFill>
                <a:latin typeface="Arial" panose="020B0604020202020204" pitchFamily="34" charset="0"/>
                <a:cs typeface="Arial" panose="020B0604020202020204" pitchFamily="34" charset="0"/>
              </a:rPr>
              <a:t> CM Performance and Progress</a:t>
            </a:r>
            <a:endParaRPr lang="en-US">
              <a:solidFill>
                <a:schemeClr val="tx1"/>
              </a:solidFill>
              <a:latin typeface="Arial" panose="020B0604020202020204" pitchFamily="34" charset="0"/>
              <a:cs typeface="Arial" panose="020B0604020202020204" pitchFamily="34" charset="0"/>
            </a:endParaRPr>
          </a:p>
        </c:rich>
      </c:tx>
      <c:layout>
        <c:manualLayout>
          <c:xMode val="edge"/>
          <c:yMode val="edge"/>
          <c:x val="0.21223117352224566"/>
          <c:y val="2.3798097453646277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EN_Progress_Results!$I$50</c:f>
              <c:strCache>
                <c:ptCount val="1"/>
                <c:pt idx="0">
                  <c:v>Qualitative Baseline</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EN_Progress_Results!$B$51:$B$66</c15:sqref>
                  </c15:fullRef>
                </c:ext>
              </c:extLst>
              <c:f>(EN_Progress_Results!$B$51,EN_Progress_Results!$B$55,EN_Progress_Results!$B$59,EN_Progress_Results!$B$63)</c:f>
              <c:strCache>
                <c:ptCount val="4"/>
                <c:pt idx="0">
                  <c:v>Oversight</c:v>
                </c:pt>
                <c:pt idx="1">
                  <c:v>Engagement</c:v>
                </c:pt>
                <c:pt idx="2">
                  <c:v>Positioning</c:v>
                </c:pt>
                <c:pt idx="3">
                  <c:v>Operations</c:v>
                </c:pt>
              </c:strCache>
            </c:strRef>
          </c:cat>
          <c:val>
            <c:numRef>
              <c:extLst>
                <c:ext xmlns:c15="http://schemas.microsoft.com/office/drawing/2012/chart" uri="{02D57815-91ED-43cb-92C2-25804820EDAC}">
                  <c15:fullRef>
                    <c15:sqref>EN_Progress_Results!$I$51:$I$66</c15:sqref>
                  </c15:fullRef>
                </c:ext>
              </c:extLst>
              <c:f>(EN_Progress_Results!$I$51,EN_Progress_Results!$I$55,EN_Progress_Results!$I$59,EN_Progress_Results!$I$63)</c:f>
              <c:numCache>
                <c:formatCode>0%</c:formatCode>
                <c:ptCount val="4"/>
                <c:pt idx="0">
                  <c:v>0.5</c:v>
                </c:pt>
                <c:pt idx="1">
                  <c:v>0.5</c:v>
                </c:pt>
                <c:pt idx="2">
                  <c:v>0.41666666666666669</c:v>
                </c:pt>
                <c:pt idx="3">
                  <c:v>0.75</c:v>
                </c:pt>
              </c:numCache>
            </c:numRef>
          </c:val>
          <c:extLst>
            <c:ext xmlns:c16="http://schemas.microsoft.com/office/drawing/2014/chart" uri="{C3380CC4-5D6E-409C-BE32-E72D297353CC}">
              <c16:uniqueId val="{00000000-C15A-492E-961B-A2E06B7E0C14}"/>
            </c:ext>
          </c:extLst>
        </c:ser>
        <c:ser>
          <c:idx val="1"/>
          <c:order val="1"/>
          <c:tx>
            <c:strRef>
              <c:f>EN_Progress_Results!$J$50</c:f>
              <c:strCache>
                <c:ptCount val="1"/>
                <c:pt idx="0">
                  <c:v>Year 1</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EN_Progress_Results!$B$51:$B$66</c15:sqref>
                  </c15:fullRef>
                </c:ext>
              </c:extLst>
              <c:f>(EN_Progress_Results!$B$51,EN_Progress_Results!$B$55,EN_Progress_Results!$B$59,EN_Progress_Results!$B$63)</c:f>
              <c:strCache>
                <c:ptCount val="4"/>
                <c:pt idx="0">
                  <c:v>Oversight</c:v>
                </c:pt>
                <c:pt idx="1">
                  <c:v>Engagement</c:v>
                </c:pt>
                <c:pt idx="2">
                  <c:v>Positioning</c:v>
                </c:pt>
                <c:pt idx="3">
                  <c:v>Operations</c:v>
                </c:pt>
              </c:strCache>
            </c:strRef>
          </c:cat>
          <c:val>
            <c:numRef>
              <c:extLst>
                <c:ext xmlns:c15="http://schemas.microsoft.com/office/drawing/2012/chart" uri="{02D57815-91ED-43cb-92C2-25804820EDAC}">
                  <c15:fullRef>
                    <c15:sqref>EN_Progress_Results!$J$51:$J$66</c15:sqref>
                  </c15:fullRef>
                </c:ext>
              </c:extLst>
              <c:f>(EN_Progress_Results!$J$51,EN_Progress_Results!$J$55,EN_Progress_Results!$J$59,EN_Progress_Results!$J$63)</c:f>
              <c:numCache>
                <c:formatCode>0%</c:formatCode>
                <c:ptCount val="4"/>
                <c:pt idx="0">
                  <c:v>0</c:v>
                </c:pt>
                <c:pt idx="1">
                  <c:v>0</c:v>
                </c:pt>
                <c:pt idx="2">
                  <c:v>0</c:v>
                </c:pt>
                <c:pt idx="3">
                  <c:v>0</c:v>
                </c:pt>
              </c:numCache>
            </c:numRef>
          </c:val>
          <c:extLst>
            <c:ext xmlns:c16="http://schemas.microsoft.com/office/drawing/2014/chart" uri="{C3380CC4-5D6E-409C-BE32-E72D297353CC}">
              <c16:uniqueId val="{00000001-C15A-492E-961B-A2E06B7E0C14}"/>
            </c:ext>
          </c:extLst>
        </c:ser>
        <c:ser>
          <c:idx val="2"/>
          <c:order val="2"/>
          <c:tx>
            <c:strRef>
              <c:f>EN_Progress_Results!$K$50</c:f>
              <c:strCache>
                <c:ptCount val="1"/>
                <c:pt idx="0">
                  <c:v>Year 2</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EN_Progress_Results!$B$51:$B$66</c15:sqref>
                  </c15:fullRef>
                </c:ext>
              </c:extLst>
              <c:f>(EN_Progress_Results!$B$51,EN_Progress_Results!$B$55,EN_Progress_Results!$B$59,EN_Progress_Results!$B$63)</c:f>
              <c:strCache>
                <c:ptCount val="4"/>
                <c:pt idx="0">
                  <c:v>Oversight</c:v>
                </c:pt>
                <c:pt idx="1">
                  <c:v>Engagement</c:v>
                </c:pt>
                <c:pt idx="2">
                  <c:v>Positioning</c:v>
                </c:pt>
                <c:pt idx="3">
                  <c:v>Operations</c:v>
                </c:pt>
              </c:strCache>
            </c:strRef>
          </c:cat>
          <c:val>
            <c:numRef>
              <c:extLst>
                <c:ext xmlns:c15="http://schemas.microsoft.com/office/drawing/2012/chart" uri="{02D57815-91ED-43cb-92C2-25804820EDAC}">
                  <c15:fullRef>
                    <c15:sqref>EN_Progress_Results!$K$51:$K$66</c15:sqref>
                  </c15:fullRef>
                </c:ext>
              </c:extLst>
              <c:f>(EN_Progress_Results!$K$51,EN_Progress_Results!$K$55,EN_Progress_Results!$K$59,EN_Progress_Results!$K$63)</c:f>
              <c:numCache>
                <c:formatCode>0%</c:formatCode>
                <c:ptCount val="4"/>
                <c:pt idx="0">
                  <c:v>0</c:v>
                </c:pt>
                <c:pt idx="1">
                  <c:v>0</c:v>
                </c:pt>
                <c:pt idx="2">
                  <c:v>0</c:v>
                </c:pt>
                <c:pt idx="3">
                  <c:v>0</c:v>
                </c:pt>
              </c:numCache>
            </c:numRef>
          </c:val>
          <c:extLst>
            <c:ext xmlns:c16="http://schemas.microsoft.com/office/drawing/2014/chart" uri="{C3380CC4-5D6E-409C-BE32-E72D297353CC}">
              <c16:uniqueId val="{00000002-C15A-492E-961B-A2E06B7E0C14}"/>
            </c:ext>
          </c:extLst>
        </c:ser>
        <c:ser>
          <c:idx val="3"/>
          <c:order val="3"/>
          <c:tx>
            <c:strRef>
              <c:f>EN_Progress_Results!$L$50</c:f>
              <c:strCache>
                <c:ptCount val="1"/>
                <c:pt idx="0">
                  <c:v>Year 3</c:v>
                </c:pt>
              </c:strCache>
            </c:strRef>
          </c:tx>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EN_Progress_Results!$B$51:$B$66</c15:sqref>
                  </c15:fullRef>
                </c:ext>
              </c:extLst>
              <c:f>(EN_Progress_Results!$B$51,EN_Progress_Results!$B$55,EN_Progress_Results!$B$59,EN_Progress_Results!$B$63)</c:f>
              <c:strCache>
                <c:ptCount val="4"/>
                <c:pt idx="0">
                  <c:v>Oversight</c:v>
                </c:pt>
                <c:pt idx="1">
                  <c:v>Engagement</c:v>
                </c:pt>
                <c:pt idx="2">
                  <c:v>Positioning</c:v>
                </c:pt>
                <c:pt idx="3">
                  <c:v>Operations</c:v>
                </c:pt>
              </c:strCache>
            </c:strRef>
          </c:cat>
          <c:val>
            <c:numRef>
              <c:extLst>
                <c:ext xmlns:c15="http://schemas.microsoft.com/office/drawing/2012/chart" uri="{02D57815-91ED-43cb-92C2-25804820EDAC}">
                  <c15:fullRef>
                    <c15:sqref>EN_Progress_Results!$L$51:$L$66</c15:sqref>
                  </c15:fullRef>
                </c:ext>
              </c:extLst>
              <c:f>(EN_Progress_Results!$L$51,EN_Progress_Results!$L$55,EN_Progress_Results!$L$59,EN_Progress_Results!$L$63)</c:f>
              <c:numCache>
                <c:formatCode>0%</c:formatCode>
                <c:ptCount val="4"/>
                <c:pt idx="0">
                  <c:v>0</c:v>
                </c:pt>
                <c:pt idx="1">
                  <c:v>0</c:v>
                </c:pt>
                <c:pt idx="2">
                  <c:v>0</c:v>
                </c:pt>
                <c:pt idx="3">
                  <c:v>0</c:v>
                </c:pt>
              </c:numCache>
            </c:numRef>
          </c:val>
          <c:extLst>
            <c:ext xmlns:c16="http://schemas.microsoft.com/office/drawing/2014/chart" uri="{C3380CC4-5D6E-409C-BE32-E72D297353CC}">
              <c16:uniqueId val="{00000001-0F26-4795-A035-1D93517DB971}"/>
            </c:ext>
          </c:extLst>
        </c:ser>
        <c:ser>
          <c:idx val="7"/>
          <c:order val="7"/>
          <c:tx>
            <c:strRef>
              <c:f>EN_Progress_Results!$AA$50</c:f>
              <c:strCache>
                <c:ptCount val="1"/>
                <c:pt idx="0">
                  <c:v>empty column</c:v>
                </c:pt>
              </c:strCache>
            </c:strRef>
          </c:tx>
          <c:spPr>
            <a:gradFill rotWithShape="1">
              <a:gsLst>
                <a:gs pos="0">
                  <a:schemeClr val="accent3">
                    <a:lumMod val="80000"/>
                    <a:lumOff val="20000"/>
                    <a:shade val="51000"/>
                    <a:satMod val="130000"/>
                  </a:schemeClr>
                </a:gs>
                <a:gs pos="80000">
                  <a:schemeClr val="accent3">
                    <a:lumMod val="80000"/>
                    <a:lumOff val="20000"/>
                    <a:shade val="93000"/>
                    <a:satMod val="130000"/>
                  </a:schemeClr>
                </a:gs>
                <a:gs pos="100000">
                  <a:schemeClr val="accent3">
                    <a:lumMod val="80000"/>
                    <a:lumOff val="20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strLit>
              <c:ptCount val="4"/>
              <c:pt idx="0">
                <c:v>Oversight</c:v>
              </c:pt>
              <c:pt idx="1">
                <c:v>Engagement</c:v>
              </c:pt>
              <c:pt idx="2">
                <c:v>Positioning</c:v>
              </c:pt>
              <c:pt idx="3">
                <c:v>Operations</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EN_Progress_Results!$AA$51:$AA$66</c15:sqref>
                  </c15:fullRef>
                </c:ext>
              </c:extLst>
              <c:f>(EN_Progress_Results!$AA$51,EN_Progress_Results!$AA$55,EN_Progress_Results!$AA$59,EN_Progress_Results!$AA$63)</c:f>
              <c:numCache>
                <c:formatCode>General</c:formatCode>
                <c:ptCount val="4"/>
              </c:numCache>
            </c:numRef>
          </c:val>
          <c:extLst>
            <c:ext xmlns:c16="http://schemas.microsoft.com/office/drawing/2014/chart" uri="{C3380CC4-5D6E-409C-BE32-E72D297353CC}">
              <c16:uniqueId val="{00000001-9755-45A8-AC17-DE44DDB6B46A}"/>
            </c:ext>
          </c:extLst>
        </c:ser>
        <c:ser>
          <c:idx val="8"/>
          <c:order val="8"/>
          <c:tx>
            <c:strRef>
              <c:f>EN_Progress_Results!$Z$50</c:f>
              <c:strCache>
                <c:ptCount val="1"/>
                <c:pt idx="0">
                  <c:v>empty column</c:v>
                </c:pt>
              </c:strCache>
            </c:strRef>
          </c:tx>
          <c:spPr>
            <a:gradFill rotWithShape="1">
              <a:gsLst>
                <a:gs pos="0">
                  <a:schemeClr val="accent5">
                    <a:lumMod val="80000"/>
                    <a:lumOff val="20000"/>
                    <a:shade val="51000"/>
                    <a:satMod val="130000"/>
                  </a:schemeClr>
                </a:gs>
                <a:gs pos="80000">
                  <a:schemeClr val="accent5">
                    <a:lumMod val="80000"/>
                    <a:lumOff val="20000"/>
                    <a:shade val="93000"/>
                    <a:satMod val="130000"/>
                  </a:schemeClr>
                </a:gs>
                <a:gs pos="100000">
                  <a:schemeClr val="accent5">
                    <a:lumMod val="80000"/>
                    <a:lumOff val="20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strLit>
              <c:ptCount val="4"/>
              <c:pt idx="0">
                <c:v>Oversight</c:v>
              </c:pt>
              <c:pt idx="1">
                <c:v>Engagement</c:v>
              </c:pt>
              <c:pt idx="2">
                <c:v>Positioning</c:v>
              </c:pt>
              <c:pt idx="3">
                <c:v>Operations</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EN_Progress_Results!$Z$51:$Z$66</c15:sqref>
                  </c15:fullRef>
                </c:ext>
              </c:extLst>
              <c:f>(EN_Progress_Results!$Z$51,EN_Progress_Results!$Z$55,EN_Progress_Results!$Z$59,EN_Progress_Results!$Z$63)</c:f>
              <c:numCache>
                <c:formatCode>General</c:formatCode>
                <c:ptCount val="4"/>
              </c:numCache>
            </c:numRef>
          </c:val>
          <c:extLst>
            <c:ext xmlns:c16="http://schemas.microsoft.com/office/drawing/2014/chart" uri="{C3380CC4-5D6E-409C-BE32-E72D297353CC}">
              <c16:uniqueId val="{00000002-9755-45A8-AC17-DE44DDB6B46A}"/>
            </c:ext>
          </c:extLst>
        </c:ser>
        <c:dLbls>
          <c:showLegendKey val="0"/>
          <c:showVal val="0"/>
          <c:showCatName val="0"/>
          <c:showSerName val="0"/>
          <c:showPercent val="0"/>
          <c:showBubbleSize val="0"/>
        </c:dLbls>
        <c:gapWidth val="150"/>
        <c:axId val="1185255720"/>
        <c:axId val="1185254736"/>
      </c:barChart>
      <c:lineChart>
        <c:grouping val="standard"/>
        <c:varyColors val="0"/>
        <c:ser>
          <c:idx val="4"/>
          <c:order val="4"/>
          <c:tx>
            <c:strRef>
              <c:f>EN_Progress_Results!$AB$50</c:f>
              <c:strCache>
                <c:ptCount val="1"/>
                <c:pt idx="0">
                  <c:v>Level 1  =25%</c:v>
                </c:pt>
              </c:strCache>
            </c:strRef>
          </c:tx>
          <c:spPr>
            <a:ln w="19050" cap="rnd">
              <a:solidFill>
                <a:srgbClr val="A50021"/>
              </a:solidFill>
              <a:round/>
            </a:ln>
            <a:effectLst>
              <a:outerShdw blurRad="40000" dist="23000" dir="5400000" rotWithShape="0">
                <a:srgbClr val="000000">
                  <a:alpha val="35000"/>
                </a:srgbClr>
              </a:outerShdw>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C-4C42-41F5-A2DC-4CEEDEE209B6}"/>
                </c:ext>
              </c:extLst>
            </c:dLbl>
            <c:dLbl>
              <c:idx val="1"/>
              <c:delete val="1"/>
              <c:extLst>
                <c:ext xmlns:c15="http://schemas.microsoft.com/office/drawing/2012/chart" uri="{CE6537A1-D6FC-4f65-9D91-7224C49458BB}"/>
                <c:ext xmlns:c16="http://schemas.microsoft.com/office/drawing/2014/chart" uri="{C3380CC4-5D6E-409C-BE32-E72D297353CC}">
                  <c16:uniqueId val="{0000000D-4C42-41F5-A2DC-4CEEDEE209B6}"/>
                </c:ext>
              </c:extLst>
            </c:dLbl>
            <c:dLbl>
              <c:idx val="2"/>
              <c:delete val="1"/>
              <c:extLst>
                <c:ext xmlns:c15="http://schemas.microsoft.com/office/drawing/2012/chart" uri="{CE6537A1-D6FC-4f65-9D91-7224C49458BB}"/>
                <c:ext xmlns:c16="http://schemas.microsoft.com/office/drawing/2014/chart" uri="{C3380CC4-5D6E-409C-BE32-E72D297353CC}">
                  <c16:uniqueId val="{0000000E-4C42-41F5-A2DC-4CEEDEE209B6}"/>
                </c:ext>
              </c:extLst>
            </c:dLbl>
            <c:dLbl>
              <c:idx val="3"/>
              <c:layout>
                <c:manualLayout>
                  <c:x val="5.2002065887845873E-2"/>
                  <c:y val="0"/>
                </c:manualLayout>
              </c:layout>
              <c:tx>
                <c:rich>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US" sz="1000">
                        <a:solidFill>
                          <a:schemeClr val="tx1"/>
                        </a:solidFill>
                        <a:latin typeface="Arial" panose="020B0604020202020204" pitchFamily="34" charset="0"/>
                        <a:cs typeface="Arial" panose="020B0604020202020204" pitchFamily="34" charset="0"/>
                      </a:rPr>
                      <a:t>Level 1</a:t>
                    </a:r>
                  </a:p>
                </c:rich>
              </c:tx>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C42-41F5-A2DC-4CEEDEE209B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4"/>
              <c:pt idx="0">
                <c:v>Oversight</c:v>
              </c:pt>
              <c:pt idx="1">
                <c:v>Engagement</c:v>
              </c:pt>
              <c:pt idx="2">
                <c:v>Positioning</c:v>
              </c:pt>
              <c:pt idx="3">
                <c:v>Operations</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EN_Progress_Results!$AB$51:$AB$66</c15:sqref>
                  </c15:fullRef>
                </c:ext>
              </c:extLst>
              <c:f>(EN_Progress_Results!$AB$51,EN_Progress_Results!$AB$55,EN_Progress_Results!$AB$59,EN_Progress_Results!$AB$63)</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1-4C42-41F5-A2DC-4CEEDEE209B6}"/>
            </c:ext>
          </c:extLst>
        </c:ser>
        <c:ser>
          <c:idx val="5"/>
          <c:order val="5"/>
          <c:tx>
            <c:strRef>
              <c:f>EN_Progress_Results!$AC$50</c:f>
              <c:strCache>
                <c:ptCount val="1"/>
                <c:pt idx="0">
                  <c:v>Level 2 = 58%</c:v>
                </c:pt>
              </c:strCache>
            </c:strRef>
          </c:tx>
          <c:spPr>
            <a:ln w="19050" cap="rnd">
              <a:solidFill>
                <a:srgbClr val="996633"/>
              </a:solidFill>
              <a:round/>
            </a:ln>
            <a:effectLst>
              <a:outerShdw blurRad="40000" dist="23000" dir="5400000" rotWithShape="0">
                <a:srgbClr val="000000">
                  <a:alpha val="35000"/>
                </a:srgbClr>
              </a:outerShdw>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8-4C42-41F5-A2DC-4CEEDEE209B6}"/>
                </c:ext>
              </c:extLst>
            </c:dLbl>
            <c:dLbl>
              <c:idx val="1"/>
              <c:delete val="1"/>
              <c:extLst>
                <c:ext xmlns:c15="http://schemas.microsoft.com/office/drawing/2012/chart" uri="{CE6537A1-D6FC-4f65-9D91-7224C49458BB}"/>
                <c:ext xmlns:c16="http://schemas.microsoft.com/office/drawing/2014/chart" uri="{C3380CC4-5D6E-409C-BE32-E72D297353CC}">
                  <c16:uniqueId val="{00000009-4C42-41F5-A2DC-4CEEDEE209B6}"/>
                </c:ext>
              </c:extLst>
            </c:dLbl>
            <c:dLbl>
              <c:idx val="2"/>
              <c:delete val="1"/>
              <c:extLst>
                <c:ext xmlns:c15="http://schemas.microsoft.com/office/drawing/2012/chart" uri="{CE6537A1-D6FC-4f65-9D91-7224C49458BB}"/>
                <c:ext xmlns:c16="http://schemas.microsoft.com/office/drawing/2014/chart" uri="{C3380CC4-5D6E-409C-BE32-E72D297353CC}">
                  <c16:uniqueId val="{0000000A-4C42-41F5-A2DC-4CEEDEE209B6}"/>
                </c:ext>
              </c:extLst>
            </c:dLbl>
            <c:dLbl>
              <c:idx val="3"/>
              <c:layout>
                <c:manualLayout>
                  <c:x val="5.3735468084107403E-2"/>
                  <c:y val="0"/>
                </c:manualLayout>
              </c:layout>
              <c:tx>
                <c:rich>
                  <a:bodyPr/>
                  <a:lstStyle/>
                  <a:p>
                    <a:r>
                      <a:rPr lang="en-US"/>
                      <a:t>Level 2</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4C42-41F5-A2DC-4CEEDEE209B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4"/>
              <c:pt idx="0">
                <c:v>Oversight</c:v>
              </c:pt>
              <c:pt idx="1">
                <c:v>Engagement</c:v>
              </c:pt>
              <c:pt idx="2">
                <c:v>Positioning</c:v>
              </c:pt>
              <c:pt idx="3">
                <c:v>Operations</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EN_Progress_Results!$AC$51:$AC$66</c15:sqref>
                  </c15:fullRef>
                </c:ext>
              </c:extLst>
              <c:f>(EN_Progress_Results!$AC$51,EN_Progress_Results!$AC$55,EN_Progress_Results!$AC$59,EN_Progress_Results!$AC$63)</c:f>
              <c:numCache>
                <c:formatCode>General</c:formatCode>
                <c:ptCount val="4"/>
                <c:pt idx="0" formatCode="0%">
                  <c:v>0.57999999999999996</c:v>
                </c:pt>
                <c:pt idx="1" formatCode="0%">
                  <c:v>0.57999999999999996</c:v>
                </c:pt>
                <c:pt idx="2" formatCode="0%">
                  <c:v>0.57999999999999996</c:v>
                </c:pt>
                <c:pt idx="3" formatCode="0%">
                  <c:v>0.57999999999999996</c:v>
                </c:pt>
              </c:numCache>
            </c:numRef>
          </c:val>
          <c:smooth val="0"/>
          <c:extLst>
            <c:ext xmlns:c16="http://schemas.microsoft.com/office/drawing/2014/chart" uri="{C3380CC4-5D6E-409C-BE32-E72D297353CC}">
              <c16:uniqueId val="{00000002-4C42-41F5-A2DC-4CEEDEE209B6}"/>
            </c:ext>
          </c:extLst>
        </c:ser>
        <c:ser>
          <c:idx val="6"/>
          <c:order val="6"/>
          <c:tx>
            <c:strRef>
              <c:f>EN_Progress_Results!$AD$50</c:f>
              <c:strCache>
                <c:ptCount val="1"/>
                <c:pt idx="0">
                  <c:v>Level  3 = 90%</c:v>
                </c:pt>
              </c:strCache>
            </c:strRef>
          </c:tx>
          <c:spPr>
            <a:ln w="19050" cap="rnd">
              <a:solidFill>
                <a:srgbClr val="9900FF"/>
              </a:solidFill>
              <a:round/>
            </a:ln>
            <a:effectLst>
              <a:outerShdw blurRad="40000" dist="23000" dir="5400000" rotWithShape="0">
                <a:srgbClr val="000000">
                  <a:alpha val="35000"/>
                </a:srgbClr>
              </a:outerShdw>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4-4C42-41F5-A2DC-4CEEDEE209B6}"/>
                </c:ext>
              </c:extLst>
            </c:dLbl>
            <c:dLbl>
              <c:idx val="1"/>
              <c:delete val="1"/>
              <c:extLst>
                <c:ext xmlns:c15="http://schemas.microsoft.com/office/drawing/2012/chart" uri="{CE6537A1-D6FC-4f65-9D91-7224C49458BB}"/>
                <c:ext xmlns:c16="http://schemas.microsoft.com/office/drawing/2014/chart" uri="{C3380CC4-5D6E-409C-BE32-E72D297353CC}">
                  <c16:uniqueId val="{00000005-4C42-41F5-A2DC-4CEEDEE209B6}"/>
                </c:ext>
              </c:extLst>
            </c:dLbl>
            <c:dLbl>
              <c:idx val="2"/>
              <c:delete val="1"/>
              <c:extLst>
                <c:ext xmlns:c15="http://schemas.microsoft.com/office/drawing/2012/chart" uri="{CE6537A1-D6FC-4f65-9D91-7224C49458BB}"/>
                <c:ext xmlns:c16="http://schemas.microsoft.com/office/drawing/2014/chart" uri="{C3380CC4-5D6E-409C-BE32-E72D297353CC}">
                  <c16:uniqueId val="{00000006-4C42-41F5-A2DC-4CEEDEE209B6}"/>
                </c:ext>
              </c:extLst>
            </c:dLbl>
            <c:dLbl>
              <c:idx val="3"/>
              <c:layout>
                <c:manualLayout>
                  <c:x val="5.7202272476630463E-2"/>
                  <c:y val="0"/>
                </c:manualLayout>
              </c:layout>
              <c:tx>
                <c:rich>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r>
                      <a:rPr lang="en-US" sz="1000">
                        <a:solidFill>
                          <a:schemeClr val="tx1"/>
                        </a:solidFill>
                        <a:latin typeface="Arial" panose="020B0604020202020204" pitchFamily="34" charset="0"/>
                        <a:cs typeface="Arial" panose="020B0604020202020204" pitchFamily="34" charset="0"/>
                      </a:rPr>
                      <a:t>Level</a:t>
                    </a:r>
                    <a:r>
                      <a:rPr lang="en-US" sz="1000" baseline="0">
                        <a:solidFill>
                          <a:schemeClr val="tx1"/>
                        </a:solidFill>
                        <a:latin typeface="Arial" panose="020B0604020202020204" pitchFamily="34" charset="0"/>
                        <a:cs typeface="Arial" panose="020B0604020202020204" pitchFamily="34" charset="0"/>
                      </a:rPr>
                      <a:t> 3</a:t>
                    </a:r>
                    <a:endParaRPr lang="en-US" sz="1000">
                      <a:solidFill>
                        <a:schemeClr val="tx1"/>
                      </a:solidFill>
                      <a:latin typeface="Arial" panose="020B0604020202020204" pitchFamily="34" charset="0"/>
                      <a:cs typeface="Arial" panose="020B0604020202020204" pitchFamily="34" charset="0"/>
                    </a:endParaRPr>
                  </a:p>
                </c:rich>
              </c:tx>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C42-41F5-A2DC-4CEEDEE209B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4"/>
              <c:pt idx="0">
                <c:v>Oversight</c:v>
              </c:pt>
              <c:pt idx="1">
                <c:v>Engagement</c:v>
              </c:pt>
              <c:pt idx="2">
                <c:v>Positioning</c:v>
              </c:pt>
              <c:pt idx="3">
                <c:v>Operations</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EN_Progress_Results!$AD$51:$AD$66</c15:sqref>
                  </c15:fullRef>
                </c:ext>
              </c:extLst>
              <c:f>(EN_Progress_Results!$AD$51,EN_Progress_Results!$AD$55,EN_Progress_Results!$AD$59,EN_Progress_Results!$AD$63)</c:f>
              <c:numCache>
                <c:formatCode>General</c:formatCode>
                <c:ptCount val="4"/>
                <c:pt idx="0" formatCode="0%">
                  <c:v>0.9</c:v>
                </c:pt>
                <c:pt idx="1" formatCode="0%">
                  <c:v>0.9</c:v>
                </c:pt>
                <c:pt idx="2" formatCode="0%">
                  <c:v>0.9</c:v>
                </c:pt>
                <c:pt idx="3" formatCode="0%">
                  <c:v>0.9</c:v>
                </c:pt>
              </c:numCache>
            </c:numRef>
          </c:val>
          <c:smooth val="0"/>
          <c:extLst>
            <c:ext xmlns:c16="http://schemas.microsoft.com/office/drawing/2014/chart" uri="{C3380CC4-5D6E-409C-BE32-E72D297353CC}">
              <c16:uniqueId val="{00000003-4C42-41F5-A2DC-4CEEDEE209B6}"/>
            </c:ext>
          </c:extLst>
        </c:ser>
        <c:dLbls>
          <c:showLegendKey val="0"/>
          <c:showVal val="0"/>
          <c:showCatName val="0"/>
          <c:showSerName val="0"/>
          <c:showPercent val="0"/>
          <c:showBubbleSize val="0"/>
        </c:dLbls>
        <c:marker val="1"/>
        <c:smooth val="0"/>
        <c:axId val="1185255720"/>
        <c:axId val="1185254736"/>
      </c:lineChart>
      <c:catAx>
        <c:axId val="118525572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85254736"/>
        <c:crosses val="autoZero"/>
        <c:auto val="1"/>
        <c:lblAlgn val="ctr"/>
        <c:lblOffset val="100"/>
        <c:noMultiLvlLbl val="0"/>
      </c:catAx>
      <c:valAx>
        <c:axId val="1185254736"/>
        <c:scaling>
          <c:orientation val="minMax"/>
          <c:max val="1"/>
        </c:scaling>
        <c:delete val="0"/>
        <c:axPos val="l"/>
        <c:majorGridlines>
          <c:spPr>
            <a:ln w="9525" cap="flat" cmpd="sng" algn="ctr">
              <a:no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85255720"/>
        <c:crosses val="autoZero"/>
        <c:crossBetween val="between"/>
      </c:valAx>
      <c:spPr>
        <a:noFill/>
        <a:ln>
          <a:noFill/>
        </a:ln>
        <a:effectLst/>
      </c:spPr>
    </c:plotArea>
    <c:legend>
      <c:legendPos val="b"/>
      <c:legendEntry>
        <c:idx val="4"/>
        <c:delete val="1"/>
      </c:legendEntry>
      <c:legendEntry>
        <c:idx val="5"/>
        <c:delete val="1"/>
      </c:legendEntry>
      <c:layout>
        <c:manualLayout>
          <c:xMode val="edge"/>
          <c:yMode val="edge"/>
          <c:x val="1.1675843299928386E-2"/>
          <c:y val="0.91902035072715194"/>
          <c:w val="0.97664831340014335"/>
          <c:h val="5.8843505598236548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Arial" panose="020B0604020202020204" pitchFamily="34" charset="0"/>
                <a:ea typeface="+mn-ea"/>
                <a:cs typeface="Arial" panose="020B0604020202020204" pitchFamily="34" charset="0"/>
              </a:defRPr>
            </a:pPr>
            <a:r>
              <a:rPr lang="en-US">
                <a:solidFill>
                  <a:schemeClr val="tx1"/>
                </a:solidFill>
                <a:latin typeface="Arial" panose="020B0604020202020204" pitchFamily="34" charset="0"/>
                <a:cs typeface="Arial" panose="020B0604020202020204" pitchFamily="34" charset="0"/>
              </a:rPr>
              <a:t>Summary</a:t>
            </a:r>
            <a:r>
              <a:rPr lang="en-US" baseline="0">
                <a:solidFill>
                  <a:schemeClr val="tx1"/>
                </a:solidFill>
                <a:latin typeface="Arial" panose="020B0604020202020204" pitchFamily="34" charset="0"/>
                <a:cs typeface="Arial" panose="020B0604020202020204" pitchFamily="34" charset="0"/>
              </a:rPr>
              <a:t> Strategy Progress Update </a:t>
            </a:r>
            <a:endParaRPr lang="en-US">
              <a:solidFill>
                <a:schemeClr val="tx1"/>
              </a:solidFill>
              <a:latin typeface="Arial" panose="020B0604020202020204" pitchFamily="34" charset="0"/>
              <a:cs typeface="Arial" panose="020B0604020202020204" pitchFamily="34" charset="0"/>
            </a:endParaRPr>
          </a:p>
        </c:rich>
      </c:tx>
      <c:layout>
        <c:manualLayout>
          <c:xMode val="edge"/>
          <c:yMode val="edge"/>
          <c:x val="0.23334584300728994"/>
          <c:y val="9.6272877998146138E-3"/>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1"/>
          <c:order val="0"/>
          <c:tx>
            <c:strRef>
              <c:f>Progress_Results_Strategy!$H$11</c:f>
              <c:strCache>
                <c:ptCount val="1"/>
                <c:pt idx="0">
                  <c:v>Year 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(Progress_Results_Strategy!$A$12:$B$12,Progress_Results_Strategy!$A$16:$B$16,Progress_Results_Strategy!$A$21:$B$21)</c:f>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extLst/>
            </c:multiLvlStrRef>
          </c:cat>
          <c:val>
            <c:numRef>
              <c:f>(Progress_Results_Strategy!$H$12,Progress_Results_Strategy!$H$16,Progress_Results_Strategy!$H$21)</c:f>
              <c:numCache>
                <c:formatCode>0%</c:formatCode>
                <c:ptCount val="3"/>
                <c:pt idx="0">
                  <c:v>0</c:v>
                </c:pt>
                <c:pt idx="1">
                  <c:v>0</c:v>
                </c:pt>
                <c:pt idx="2">
                  <c:v>0</c:v>
                </c:pt>
              </c:numCache>
              <c:extLst/>
            </c:numRef>
          </c:val>
          <c:extLst>
            <c:ext xmlns:c16="http://schemas.microsoft.com/office/drawing/2014/chart" uri="{C3380CC4-5D6E-409C-BE32-E72D297353CC}">
              <c16:uniqueId val="{00000001-AF01-44B4-893F-A68DC1C27F0C}"/>
            </c:ext>
          </c:extLst>
        </c:ser>
        <c:ser>
          <c:idx val="2"/>
          <c:order val="1"/>
          <c:tx>
            <c:strRef>
              <c:f>Progress_Results_Strategy!$I$11</c:f>
              <c:strCache>
                <c:ptCount val="1"/>
                <c:pt idx="0">
                  <c:v>Year 2</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(Progress_Results_Strategy!$A$12:$B$12,Progress_Results_Strategy!$A$16:$B$16,Progress_Results_Strategy!$A$21:$B$21)</c:f>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extLst/>
            </c:multiLvlStrRef>
          </c:cat>
          <c:val>
            <c:numRef>
              <c:f>(Progress_Results_Strategy!$I$12,Progress_Results_Strategy!$I$16,Progress_Results_Strategy!$I$21)</c:f>
              <c:numCache>
                <c:formatCode>0%</c:formatCode>
                <c:ptCount val="3"/>
                <c:pt idx="0">
                  <c:v>0</c:v>
                </c:pt>
                <c:pt idx="1">
                  <c:v>0</c:v>
                </c:pt>
                <c:pt idx="2">
                  <c:v>0</c:v>
                </c:pt>
              </c:numCache>
              <c:extLst/>
            </c:numRef>
          </c:val>
          <c:extLst>
            <c:ext xmlns:c16="http://schemas.microsoft.com/office/drawing/2014/chart" uri="{C3380CC4-5D6E-409C-BE32-E72D297353CC}">
              <c16:uniqueId val="{00000002-AF01-44B4-893F-A68DC1C27F0C}"/>
            </c:ext>
          </c:extLst>
        </c:ser>
        <c:ser>
          <c:idx val="3"/>
          <c:order val="2"/>
          <c:tx>
            <c:strRef>
              <c:f>Progress_Results_Strategy!$J$11</c:f>
              <c:strCache>
                <c:ptCount val="1"/>
                <c:pt idx="0">
                  <c:v>Year 3</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(Progress_Results_Strategy!$A$12:$B$12,Progress_Results_Strategy!$A$16:$B$16,Progress_Results_Strategy!$A$21:$B$21)</c:f>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extLst/>
            </c:multiLvlStrRef>
          </c:cat>
          <c:val>
            <c:numRef>
              <c:f>(Progress_Results_Strategy!$J$12,Progress_Results_Strategy!$J$16,Progress_Results_Strategy!$J$21)</c:f>
              <c:numCache>
                <c:formatCode>0%</c:formatCode>
                <c:ptCount val="3"/>
                <c:pt idx="0">
                  <c:v>0</c:v>
                </c:pt>
                <c:pt idx="1">
                  <c:v>0</c:v>
                </c:pt>
                <c:pt idx="2">
                  <c:v>0</c:v>
                </c:pt>
              </c:numCache>
              <c:extLst/>
            </c:numRef>
          </c:val>
          <c:extLst>
            <c:ext xmlns:c16="http://schemas.microsoft.com/office/drawing/2014/chart" uri="{C3380CC4-5D6E-409C-BE32-E72D297353CC}">
              <c16:uniqueId val="{00000003-AF01-44B4-893F-A68DC1C27F0C}"/>
            </c:ext>
          </c:extLst>
        </c:ser>
        <c:dLbls>
          <c:showLegendKey val="0"/>
          <c:showVal val="0"/>
          <c:showCatName val="0"/>
          <c:showSerName val="0"/>
          <c:showPercent val="0"/>
          <c:showBubbleSize val="0"/>
        </c:dLbls>
        <c:gapWidth val="150"/>
        <c:axId val="1185255720"/>
        <c:axId val="1185254736"/>
        <c:extLst>
          <c:ext xmlns:c15="http://schemas.microsoft.com/office/drawing/2012/chart" uri="{02D57815-91ED-43cb-92C2-25804820EDAC}">
            <c15:filteredBarSeries>
              <c15:ser>
                <c:idx val="7"/>
                <c:order val="6"/>
                <c:tx>
                  <c:strRef>
                    <c:extLst>
                      <c:ext uri="{02D57815-91ED-43cb-92C2-25804820EDAC}">
                        <c15:formulaRef>
                          <c15:sqref>Progress_Results_Strategy!#REF!</c15:sqref>
                        </c15:formulaRef>
                      </c:ext>
                    </c:extLst>
                    <c:strCache>
                      <c:ptCount val="1"/>
                      <c:pt idx="0">
                        <c:v>#REF!</c:v>
                      </c:pt>
                    </c:strCache>
                  </c:strRef>
                </c:tx>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multiLvlStrRef>
                    <c:extLst>
                      <c:ext uri="{02D57815-91ED-43cb-92C2-25804820EDAC}">
                        <c15:formulaRef>
                          <c15:sqref>(Progress_Results_Strategy!$A$12:$B$12,Progress_Results_Strategy!$A$16:$B$16,Progress_Results_Strategy!$A$21:$B$21)</c15:sqref>
                        </c15:formulaRef>
                      </c:ext>
                    </c:extLst>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multiLvlStrRef>
                </c:cat>
                <c:val>
                  <c:numRef>
                    <c:extLst>
                      <c:ext uri="{02D57815-91ED-43cb-92C2-25804820EDAC}">
                        <c15:formulaRef>
                          <c15:sqref>Progress_Results_Strategy!#REF!</c15:sqref>
                        </c15:formulaRef>
                      </c:ext>
                    </c:extLst>
                    <c:numCache>
                      <c:formatCode>General</c:formatCode>
                      <c:ptCount val="1"/>
                      <c:pt idx="0">
                        <c:v>1</c:v>
                      </c:pt>
                    </c:numCache>
                  </c:numRef>
                </c:val>
                <c:extLst>
                  <c:ext xmlns:c16="http://schemas.microsoft.com/office/drawing/2014/chart" uri="{C3380CC4-5D6E-409C-BE32-E72D297353CC}">
                    <c16:uniqueId val="{00000013-AF01-44B4-893F-A68DC1C27F0C}"/>
                  </c:ext>
                </c:extLst>
              </c15:ser>
            </c15:filteredBarSeries>
            <c15:filteredBarSeries>
              <c15:ser>
                <c:idx val="8"/>
                <c:order val="7"/>
                <c:tx>
                  <c:strRef>
                    <c:extLst xmlns:c15="http://schemas.microsoft.com/office/drawing/2012/chart">
                      <c:ext xmlns:c15="http://schemas.microsoft.com/office/drawing/2012/chart" uri="{02D57815-91ED-43cb-92C2-25804820EDAC}">
                        <c15:formulaRef>
                          <c15:sqref>Progress_Results_Strategy!#REF!</c15:sqref>
                        </c15:formulaRef>
                      </c:ext>
                    </c:extLst>
                    <c:strCache>
                      <c:ptCount val="1"/>
                      <c:pt idx="0">
                        <c:v>#REF!</c:v>
                      </c:pt>
                    </c:strCache>
                  </c:strRef>
                </c:tx>
                <c:spPr>
                  <a:gradFill rotWithShape="1">
                    <a:gsLst>
                      <a:gs pos="0">
                        <a:schemeClr val="accent3">
                          <a:lumMod val="60000"/>
                          <a:shade val="51000"/>
                          <a:satMod val="130000"/>
                        </a:schemeClr>
                      </a:gs>
                      <a:gs pos="80000">
                        <a:schemeClr val="accent3">
                          <a:lumMod val="60000"/>
                          <a:shade val="93000"/>
                          <a:satMod val="130000"/>
                        </a:schemeClr>
                      </a:gs>
                      <a:gs pos="100000">
                        <a:schemeClr val="accent3">
                          <a:lumMod val="60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multiLvlStrRef>
                    <c:extLst xmlns:c15="http://schemas.microsoft.com/office/drawing/2012/chart">
                      <c:ext xmlns:c15="http://schemas.microsoft.com/office/drawing/2012/chart" uri="{02D57815-91ED-43cb-92C2-25804820EDAC}">
                        <c15:formulaRef>
                          <c15:sqref>(Progress_Results_Strategy!$A$12:$B$12,Progress_Results_Strategy!$A$16:$B$16,Progress_Results_Strategy!$A$21:$B$21)</c15:sqref>
                        </c15:formulaRef>
                      </c:ext>
                    </c:extLst>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multiLvlStrRef>
                </c:cat>
                <c:val>
                  <c:numRef>
                    <c:extLst xmlns:c15="http://schemas.microsoft.com/office/drawing/2012/chart">
                      <c:ext xmlns:c15="http://schemas.microsoft.com/office/drawing/2012/chart" uri="{02D57815-91ED-43cb-92C2-25804820EDAC}">
                        <c15:formulaRef>
                          <c15:sqref>Progress_Results_Strategy!#REF!</c15:sqref>
                        </c15:formulaRef>
                      </c:ext>
                    </c:extLst>
                    <c:numCache>
                      <c:formatCode>General</c:formatCode>
                      <c:ptCount val="1"/>
                      <c:pt idx="0">
                        <c:v>1</c:v>
                      </c:pt>
                    </c:numCache>
                  </c:numRef>
                </c:val>
                <c:extLst xmlns:c15="http://schemas.microsoft.com/office/drawing/2012/chart">
                  <c:ext xmlns:c16="http://schemas.microsoft.com/office/drawing/2014/chart" uri="{C3380CC4-5D6E-409C-BE32-E72D297353CC}">
                    <c16:uniqueId val="{00000014-AF01-44B4-893F-A68DC1C27F0C}"/>
                  </c:ext>
                </c:extLst>
              </c15:ser>
            </c15:filteredBarSeries>
          </c:ext>
        </c:extLst>
      </c:barChart>
      <c:lineChart>
        <c:grouping val="standard"/>
        <c:varyColors val="0"/>
        <c:ser>
          <c:idx val="4"/>
          <c:order val="3"/>
          <c:tx>
            <c:strRef>
              <c:f>Progress_Results_Strategy!$Z$11</c:f>
              <c:strCache>
                <c:ptCount val="1"/>
                <c:pt idx="0">
                  <c:v>scores 1</c:v>
                </c:pt>
              </c:strCache>
            </c:strRef>
          </c:tx>
          <c:spPr>
            <a:ln w="31750" cap="rnd">
              <a:solidFill>
                <a:schemeClr val="accent5"/>
              </a:solidFill>
              <a:round/>
            </a:ln>
            <a:effectLst>
              <a:outerShdw blurRad="40000" dist="23000" dir="5400000" rotWithShape="0">
                <a:srgbClr val="000000">
                  <a:alpha val="35000"/>
                </a:srgbClr>
              </a:outerShdw>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4-AF01-44B4-893F-A68DC1C27F0C}"/>
                </c:ext>
              </c:extLst>
            </c:dLbl>
            <c:dLbl>
              <c:idx val="1"/>
              <c:delete val="1"/>
              <c:extLst>
                <c:ext xmlns:c15="http://schemas.microsoft.com/office/drawing/2012/chart" uri="{CE6537A1-D6FC-4f65-9D91-7224C49458BB}"/>
                <c:ext xmlns:c16="http://schemas.microsoft.com/office/drawing/2014/chart" uri="{C3380CC4-5D6E-409C-BE32-E72D297353CC}">
                  <c16:uniqueId val="{00000005-AF01-44B4-893F-A68DC1C27F0C}"/>
                </c:ext>
              </c:extLst>
            </c:dLbl>
            <c:dLbl>
              <c:idx val="2"/>
              <c:layout>
                <c:manualLayout>
                  <c:x val="9.2733826248399709E-2"/>
                  <c:y val="0"/>
                </c:manualLayout>
              </c:layout>
              <c:tx>
                <c:rich>
                  <a:bodyPr/>
                  <a:lstStyle/>
                  <a:p>
                    <a:r>
                      <a:rPr lang="en-US"/>
                      <a:t>Level 1</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F01-44B4-893F-A68DC1C27F0C}"/>
                </c:ext>
              </c:extLst>
            </c:dLbl>
            <c:dLbl>
              <c:idx val="3"/>
              <c:layout>
                <c:manualLayout>
                  <c:x val="5.2002065887845873E-2"/>
                  <c:y val="0"/>
                </c:manualLayout>
              </c:layout>
              <c:tx>
                <c:rich>
                  <a:bodyPr/>
                  <a:lstStyle/>
                  <a:p>
                    <a:r>
                      <a:rPr lang="en-US" sz="1000">
                        <a:solidFill>
                          <a:sysClr val="windowText" lastClr="000000"/>
                        </a:solidFill>
                        <a:latin typeface="Arial" panose="020B0604020202020204" pitchFamily="34" charset="0"/>
                        <a:cs typeface="Arial" panose="020B0604020202020204" pitchFamily="34" charset="0"/>
                      </a:rPr>
                      <a:t>Level 1</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F01-44B4-893F-A68DC1C27F0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(Progress_Results_Strategy!$A$12:$B$12,Progress_Results_Strategy!$A$16:$B$16,Progress_Results_Strategy!$A$21:$B$21)</c:f>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extLst/>
            </c:multiLvlStrRef>
          </c:cat>
          <c:val>
            <c:numRef>
              <c:f>(Progress_Results_Strategy!$Z$12,Progress_Results_Strategy!$Z$16,Progress_Results_Strategy!$Z$21)</c:f>
              <c:numCache>
                <c:formatCode>0%</c:formatCode>
                <c:ptCount val="3"/>
                <c:pt idx="0">
                  <c:v>0.25</c:v>
                </c:pt>
                <c:pt idx="1">
                  <c:v>0.25</c:v>
                </c:pt>
                <c:pt idx="2">
                  <c:v>0.25</c:v>
                </c:pt>
              </c:numCache>
              <c:extLst/>
            </c:numRef>
          </c:val>
          <c:smooth val="0"/>
          <c:extLst>
            <c:ext xmlns:c16="http://schemas.microsoft.com/office/drawing/2014/chart" uri="{C3380CC4-5D6E-409C-BE32-E72D297353CC}">
              <c16:uniqueId val="{00000008-AF01-44B4-893F-A68DC1C27F0C}"/>
            </c:ext>
          </c:extLst>
        </c:ser>
        <c:ser>
          <c:idx val="5"/>
          <c:order val="4"/>
          <c:tx>
            <c:strRef>
              <c:f>Progress_Results_Strategy!$AA$11</c:f>
              <c:strCache>
                <c:ptCount val="1"/>
                <c:pt idx="0">
                  <c:v>scores 2</c:v>
                </c:pt>
              </c:strCache>
            </c:strRef>
          </c:tx>
          <c:spPr>
            <a:ln w="31750" cap="rnd">
              <a:solidFill>
                <a:schemeClr val="accent6"/>
              </a:solidFill>
              <a:round/>
            </a:ln>
            <a:effectLst>
              <a:outerShdw blurRad="40000" dist="23000" dir="5400000" rotWithShape="0">
                <a:srgbClr val="000000">
                  <a:alpha val="35000"/>
                </a:srgbClr>
              </a:outerShdw>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9-AF01-44B4-893F-A68DC1C27F0C}"/>
                </c:ext>
              </c:extLst>
            </c:dLbl>
            <c:dLbl>
              <c:idx val="1"/>
              <c:delete val="1"/>
              <c:extLst>
                <c:ext xmlns:c15="http://schemas.microsoft.com/office/drawing/2012/chart" uri="{CE6537A1-D6FC-4f65-9D91-7224C49458BB}"/>
                <c:ext xmlns:c16="http://schemas.microsoft.com/office/drawing/2014/chart" uri="{C3380CC4-5D6E-409C-BE32-E72D297353CC}">
                  <c16:uniqueId val="{0000000A-AF01-44B4-893F-A68DC1C27F0C}"/>
                </c:ext>
              </c:extLst>
            </c:dLbl>
            <c:dLbl>
              <c:idx val="2"/>
              <c:layout>
                <c:manualLayout>
                  <c:x val="9.9241463178111985E-2"/>
                  <c:y val="0"/>
                </c:manualLayout>
              </c:layout>
              <c:tx>
                <c:rich>
                  <a:bodyPr/>
                  <a:lstStyle/>
                  <a:p>
                    <a:r>
                      <a:rPr lang="en-US"/>
                      <a:t>Level 2</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F01-44B4-893F-A68DC1C27F0C}"/>
                </c:ext>
              </c:extLst>
            </c:dLbl>
            <c:dLbl>
              <c:idx val="3"/>
              <c:layout>
                <c:manualLayout>
                  <c:x val="5.3735468084107403E-2"/>
                  <c:y val="0"/>
                </c:manualLayout>
              </c:layout>
              <c:tx>
                <c:rich>
                  <a:bodyPr/>
                  <a:lstStyle/>
                  <a:p>
                    <a:r>
                      <a:rPr lang="en-US"/>
                      <a:t>Level 2</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AF01-44B4-893F-A68DC1C27F0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(Progress_Results_Strategy!$A$12:$B$12,Progress_Results_Strategy!$A$16:$B$16,Progress_Results_Strategy!$A$21:$B$21)</c:f>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extLst/>
            </c:multiLvlStrRef>
          </c:cat>
          <c:val>
            <c:numRef>
              <c:f>(Progress_Results_Strategy!$AA$12,Progress_Results_Strategy!$AA$16,Progress_Results_Strategy!$AA$21)</c:f>
              <c:numCache>
                <c:formatCode>0%</c:formatCode>
                <c:ptCount val="3"/>
                <c:pt idx="0">
                  <c:v>0.57999999999999996</c:v>
                </c:pt>
                <c:pt idx="1">
                  <c:v>0.57999999999999996</c:v>
                </c:pt>
                <c:pt idx="2">
                  <c:v>0.57999999999999996</c:v>
                </c:pt>
              </c:numCache>
              <c:extLst/>
            </c:numRef>
          </c:val>
          <c:smooth val="0"/>
          <c:extLst>
            <c:ext xmlns:c16="http://schemas.microsoft.com/office/drawing/2014/chart" uri="{C3380CC4-5D6E-409C-BE32-E72D297353CC}">
              <c16:uniqueId val="{0000000D-AF01-44B4-893F-A68DC1C27F0C}"/>
            </c:ext>
          </c:extLst>
        </c:ser>
        <c:ser>
          <c:idx val="6"/>
          <c:order val="5"/>
          <c:tx>
            <c:strRef>
              <c:f>Progress_Results_Strategy!$AB$11</c:f>
              <c:strCache>
                <c:ptCount val="1"/>
                <c:pt idx="0">
                  <c:v>scores 3</c:v>
                </c:pt>
              </c:strCache>
            </c:strRef>
          </c:tx>
          <c:spPr>
            <a:ln w="31750" cap="rnd">
              <a:solidFill>
                <a:schemeClr val="accent1">
                  <a:lumMod val="60000"/>
                </a:schemeClr>
              </a:solidFill>
              <a:round/>
            </a:ln>
            <a:effectLst>
              <a:outerShdw blurRad="40000" dist="23000" dir="5400000" rotWithShape="0">
                <a:srgbClr val="000000">
                  <a:alpha val="35000"/>
                </a:srgbClr>
              </a:outerShdw>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E-AF01-44B4-893F-A68DC1C27F0C}"/>
                </c:ext>
              </c:extLst>
            </c:dLbl>
            <c:dLbl>
              <c:idx val="1"/>
              <c:delete val="1"/>
              <c:extLst>
                <c:ext xmlns:c15="http://schemas.microsoft.com/office/drawing/2012/chart" uri="{CE6537A1-D6FC-4f65-9D91-7224C49458BB}"/>
                <c:ext xmlns:c16="http://schemas.microsoft.com/office/drawing/2014/chart" uri="{C3380CC4-5D6E-409C-BE32-E72D297353CC}">
                  <c16:uniqueId val="{0000000F-AF01-44B4-893F-A68DC1C27F0C}"/>
                </c:ext>
              </c:extLst>
            </c:dLbl>
            <c:dLbl>
              <c:idx val="2"/>
              <c:layout>
                <c:manualLayout>
                  <c:x val="9.2733826248399709E-2"/>
                  <c:y val="0"/>
                </c:manualLayout>
              </c:layout>
              <c:tx>
                <c:rich>
                  <a:bodyPr/>
                  <a:lstStyle/>
                  <a:p>
                    <a:r>
                      <a:rPr lang="en-US"/>
                      <a:t>Level 3</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F01-44B4-893F-A68DC1C27F0C}"/>
                </c:ext>
              </c:extLst>
            </c:dLbl>
            <c:dLbl>
              <c:idx val="3"/>
              <c:layout>
                <c:manualLayout>
                  <c:x val="5.7202272476630463E-2"/>
                  <c:y val="0"/>
                </c:manualLayout>
              </c:layout>
              <c:tx>
                <c:rich>
                  <a:bodyPr/>
                  <a:lstStyle/>
                  <a:p>
                    <a:r>
                      <a:rPr lang="en-US" sz="1000">
                        <a:solidFill>
                          <a:sysClr val="windowText" lastClr="000000"/>
                        </a:solidFill>
                        <a:latin typeface="Arial" panose="020B0604020202020204" pitchFamily="34" charset="0"/>
                        <a:cs typeface="Arial" panose="020B0604020202020204" pitchFamily="34" charset="0"/>
                      </a:rPr>
                      <a:t>Level</a:t>
                    </a:r>
                    <a:r>
                      <a:rPr lang="en-US" sz="1000" baseline="0">
                        <a:solidFill>
                          <a:sysClr val="windowText" lastClr="000000"/>
                        </a:solidFill>
                        <a:latin typeface="Arial" panose="020B0604020202020204" pitchFamily="34" charset="0"/>
                        <a:cs typeface="Arial" panose="020B0604020202020204" pitchFamily="34" charset="0"/>
                      </a:rPr>
                      <a:t> 3</a:t>
                    </a:r>
                    <a:endParaRPr lang="en-US" sz="1000">
                      <a:solidFill>
                        <a:sysClr val="windowText" lastClr="000000"/>
                      </a:solidFill>
                      <a:latin typeface="Arial" panose="020B0604020202020204" pitchFamily="34" charset="0"/>
                      <a:cs typeface="Arial" panose="020B0604020202020204" pitchFamily="34" charset="0"/>
                    </a:endParaRP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F01-44B4-893F-A68DC1C27F0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(Progress_Results_Strategy!$A$12:$B$12,Progress_Results_Strategy!$A$16:$B$16,Progress_Results_Strategy!$A$21:$B$21)</c:f>
              <c:multiLvlStrCache>
                <c:ptCount val="3"/>
                <c:lvl>
                  <c:pt idx="0">
                    <c:v>Increase representation or influence of specific groups</c:v>
                  </c:pt>
                  <c:pt idx="1">
                    <c:v>Educate and build capacity on specific thematic areas</c:v>
                  </c:pt>
                  <c:pt idx="2">
                    <c:v>Deepen CCM oversight on specific areas &amp; access to/use of data</c:v>
                  </c:pt>
                </c:lvl>
                <c:lvl>
                  <c:pt idx="2">
                    <c:v>Deepen CCM oversight on specific areas &amp; access to/use of  data</c:v>
                  </c:pt>
                </c:lvl>
              </c:multiLvlStrCache>
              <c:extLst/>
            </c:multiLvlStrRef>
          </c:cat>
          <c:val>
            <c:numRef>
              <c:f>(Progress_Results_Strategy!$AB$12,Progress_Results_Strategy!$AB$16,Progress_Results_Strategy!$AB$21)</c:f>
              <c:numCache>
                <c:formatCode>0%</c:formatCode>
                <c:ptCount val="3"/>
                <c:pt idx="0">
                  <c:v>0.9</c:v>
                </c:pt>
                <c:pt idx="1">
                  <c:v>0.9</c:v>
                </c:pt>
                <c:pt idx="2">
                  <c:v>0.9</c:v>
                </c:pt>
              </c:numCache>
              <c:extLst/>
            </c:numRef>
          </c:val>
          <c:smooth val="0"/>
          <c:extLst>
            <c:ext xmlns:c16="http://schemas.microsoft.com/office/drawing/2014/chart" uri="{C3380CC4-5D6E-409C-BE32-E72D297353CC}">
              <c16:uniqueId val="{00000012-AF01-44B4-893F-A68DC1C27F0C}"/>
            </c:ext>
          </c:extLst>
        </c:ser>
        <c:dLbls>
          <c:showLegendKey val="0"/>
          <c:showVal val="0"/>
          <c:showCatName val="0"/>
          <c:showSerName val="0"/>
          <c:showPercent val="0"/>
          <c:showBubbleSize val="0"/>
        </c:dLbls>
        <c:marker val="1"/>
        <c:smooth val="0"/>
        <c:axId val="1185255720"/>
        <c:axId val="1185254736"/>
      </c:lineChart>
      <c:catAx>
        <c:axId val="118525572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85254736"/>
        <c:crosses val="autoZero"/>
        <c:auto val="1"/>
        <c:lblAlgn val="ctr"/>
        <c:lblOffset val="100"/>
        <c:noMultiLvlLbl val="1"/>
      </c:catAx>
      <c:valAx>
        <c:axId val="1185254736"/>
        <c:scaling>
          <c:orientation val="minMax"/>
          <c:max val="1"/>
        </c:scaling>
        <c:delete val="0"/>
        <c:axPos val="l"/>
        <c:majorGridlines>
          <c:spPr>
            <a:ln w="9525" cap="flat" cmpd="sng" algn="ctr">
              <a:no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85255720"/>
        <c:crosses val="autoZero"/>
        <c:crossBetween val="between"/>
      </c:valAx>
      <c:spPr>
        <a:noFill/>
        <a:ln>
          <a:noFill/>
        </a:ln>
        <a:effectLst/>
      </c:spPr>
    </c:plotArea>
    <c:legend>
      <c:legendPos val="b"/>
      <c:legendEntry>
        <c:idx val="3"/>
        <c:delete val="1"/>
      </c:legendEntry>
      <c:legendEntry>
        <c:idx val="4"/>
        <c:delete val="1"/>
      </c:legendEntry>
      <c:legendEntry>
        <c:idx val="5"/>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hyperlink" Target="#Index!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2755900</xdr:colOff>
      <xdr:row>0</xdr:row>
      <xdr:rowOff>63500</xdr:rowOff>
    </xdr:from>
    <xdr:to>
      <xdr:col>6</xdr:col>
      <xdr:colOff>3935185</xdr:colOff>
      <xdr:row>1</xdr:row>
      <xdr:rowOff>59872</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8F751B0C-68C4-49F3-9CBC-2ED980B520FC}"/>
            </a:ext>
          </a:extLst>
        </xdr:cNvPr>
        <xdr:cNvSpPr/>
      </xdr:nvSpPr>
      <xdr:spPr>
        <a:xfrm>
          <a:off x="279857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FCFE2BB1-4918-457E-9613-A92762F84C29}"/>
            </a:ext>
          </a:extLst>
        </xdr:cNvPr>
        <xdr:cNvSpPr/>
      </xdr:nvSpPr>
      <xdr:spPr>
        <a:xfrm>
          <a:off x="239471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 name="Rectangle: Rounded Corners 3">
          <a:hlinkClick xmlns:r="http://schemas.openxmlformats.org/officeDocument/2006/relationships" r:id="rId1"/>
          <a:extLst>
            <a:ext uri="{FF2B5EF4-FFF2-40B4-BE49-F238E27FC236}">
              <a16:creationId xmlns:a16="http://schemas.microsoft.com/office/drawing/2014/main" id="{ADC428EC-719E-454A-89E5-42C14CDEC396}"/>
            </a:ext>
          </a:extLst>
        </xdr:cNvPr>
        <xdr:cNvSpPr/>
      </xdr:nvSpPr>
      <xdr:spPr>
        <a:xfrm>
          <a:off x="2260600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A48AF562-A762-420E-BCB6-869CCA8FA714}"/>
            </a:ext>
          </a:extLst>
        </xdr:cNvPr>
        <xdr:cNvSpPr/>
      </xdr:nvSpPr>
      <xdr:spPr>
        <a:xfrm>
          <a:off x="225983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 name="Rectangle: Rounded Corners 5">
          <a:hlinkClick xmlns:r="http://schemas.openxmlformats.org/officeDocument/2006/relationships" r:id="rId1"/>
          <a:extLst>
            <a:ext uri="{FF2B5EF4-FFF2-40B4-BE49-F238E27FC236}">
              <a16:creationId xmlns:a16="http://schemas.microsoft.com/office/drawing/2014/main" id="{86CF55DC-6408-4A9D-ADE4-6C6FBC5D240F}"/>
            </a:ext>
          </a:extLst>
        </xdr:cNvPr>
        <xdr:cNvSpPr/>
      </xdr:nvSpPr>
      <xdr:spPr>
        <a:xfrm>
          <a:off x="255473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 name="Rectangle: Rounded Corners 6">
          <a:hlinkClick xmlns:r="http://schemas.openxmlformats.org/officeDocument/2006/relationships" r:id="rId1"/>
          <a:extLst>
            <a:ext uri="{FF2B5EF4-FFF2-40B4-BE49-F238E27FC236}">
              <a16:creationId xmlns:a16="http://schemas.microsoft.com/office/drawing/2014/main" id="{13EDE2C8-3CD5-473F-AF87-87C431B5FE72}"/>
            </a:ext>
          </a:extLst>
        </xdr:cNvPr>
        <xdr:cNvSpPr/>
      </xdr:nvSpPr>
      <xdr:spPr>
        <a:xfrm>
          <a:off x="254177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 name="Rectangle: Rounded Corners 7">
          <a:hlinkClick xmlns:r="http://schemas.openxmlformats.org/officeDocument/2006/relationships" r:id="rId1"/>
          <a:extLst>
            <a:ext uri="{FF2B5EF4-FFF2-40B4-BE49-F238E27FC236}">
              <a16:creationId xmlns:a16="http://schemas.microsoft.com/office/drawing/2014/main" id="{77A71EA3-B4EA-4189-88EA-19FA1BA3DCA5}"/>
            </a:ext>
          </a:extLst>
        </xdr:cNvPr>
        <xdr:cNvSpPr/>
      </xdr:nvSpPr>
      <xdr:spPr>
        <a:xfrm>
          <a:off x="221716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 name="Rectangle: Rounded Corners 8">
          <a:hlinkClick xmlns:r="http://schemas.openxmlformats.org/officeDocument/2006/relationships" r:id="rId1"/>
          <a:extLst>
            <a:ext uri="{FF2B5EF4-FFF2-40B4-BE49-F238E27FC236}">
              <a16:creationId xmlns:a16="http://schemas.microsoft.com/office/drawing/2014/main" id="{70F398E3-0030-403F-B39D-E4F3B8AE0E98}"/>
            </a:ext>
          </a:extLst>
        </xdr:cNvPr>
        <xdr:cNvSpPr/>
      </xdr:nvSpPr>
      <xdr:spPr>
        <a:xfrm>
          <a:off x="22590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 name="Rectangle: Rounded Corners 10">
          <a:hlinkClick xmlns:r="http://schemas.openxmlformats.org/officeDocument/2006/relationships" r:id="rId1"/>
          <a:extLst>
            <a:ext uri="{FF2B5EF4-FFF2-40B4-BE49-F238E27FC236}">
              <a16:creationId xmlns:a16="http://schemas.microsoft.com/office/drawing/2014/main" id="{54D5BBF0-259D-40FC-8457-B4BA1853CB28}"/>
            </a:ext>
          </a:extLst>
        </xdr:cNvPr>
        <xdr:cNvSpPr/>
      </xdr:nvSpPr>
      <xdr:spPr>
        <a:xfrm>
          <a:off x="171272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 name="Rectangle: Rounded Corners 9">
          <a:hlinkClick xmlns:r="http://schemas.openxmlformats.org/officeDocument/2006/relationships" r:id="rId1"/>
          <a:extLst>
            <a:ext uri="{FF2B5EF4-FFF2-40B4-BE49-F238E27FC236}">
              <a16:creationId xmlns:a16="http://schemas.microsoft.com/office/drawing/2014/main" id="{F9747888-F1B8-4E43-A7DF-F3FAEAA762FA}"/>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 name="Rectangle: Rounded Corners 12">
          <a:hlinkClick xmlns:r="http://schemas.openxmlformats.org/officeDocument/2006/relationships" r:id="rId1"/>
          <a:extLst>
            <a:ext uri="{FF2B5EF4-FFF2-40B4-BE49-F238E27FC236}">
              <a16:creationId xmlns:a16="http://schemas.microsoft.com/office/drawing/2014/main" id="{D4CDBF15-F7AC-4B2B-B3EB-34072010EADC}"/>
            </a:ext>
          </a:extLst>
        </xdr:cNvPr>
        <xdr:cNvSpPr/>
      </xdr:nvSpPr>
      <xdr:spPr>
        <a:xfrm>
          <a:off x="283667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 name="Rectangle: Rounded Corners 11">
          <a:hlinkClick xmlns:r="http://schemas.openxmlformats.org/officeDocument/2006/relationships" r:id="rId1"/>
          <a:extLst>
            <a:ext uri="{FF2B5EF4-FFF2-40B4-BE49-F238E27FC236}">
              <a16:creationId xmlns:a16="http://schemas.microsoft.com/office/drawing/2014/main" id="{69EFC0EC-75B7-4A36-B50F-615CA305AEAD}"/>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 name="Rectangle: Rounded Corners 13">
          <a:hlinkClick xmlns:r="http://schemas.openxmlformats.org/officeDocument/2006/relationships" r:id="rId1"/>
          <a:extLst>
            <a:ext uri="{FF2B5EF4-FFF2-40B4-BE49-F238E27FC236}">
              <a16:creationId xmlns:a16="http://schemas.microsoft.com/office/drawing/2014/main" id="{91863303-DBD5-4E10-ACC8-BB491440527D}"/>
            </a:ext>
          </a:extLst>
        </xdr:cNvPr>
        <xdr:cNvSpPr/>
      </xdr:nvSpPr>
      <xdr:spPr>
        <a:xfrm>
          <a:off x="22590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5" name="Rectangle: Rounded Corners 14">
          <a:hlinkClick xmlns:r="http://schemas.openxmlformats.org/officeDocument/2006/relationships" r:id="rId1"/>
          <a:extLst>
            <a:ext uri="{FF2B5EF4-FFF2-40B4-BE49-F238E27FC236}">
              <a16:creationId xmlns:a16="http://schemas.microsoft.com/office/drawing/2014/main" id="{AA1D1ABB-749F-49DB-A060-1EBB8EFAB03D}"/>
            </a:ext>
          </a:extLst>
        </xdr:cNvPr>
        <xdr:cNvSpPr/>
      </xdr:nvSpPr>
      <xdr:spPr>
        <a:xfrm>
          <a:off x="2748280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6" name="Rectangle: Rounded Corners 15">
          <a:hlinkClick xmlns:r="http://schemas.openxmlformats.org/officeDocument/2006/relationships" r:id="rId1"/>
          <a:extLst>
            <a:ext uri="{FF2B5EF4-FFF2-40B4-BE49-F238E27FC236}">
              <a16:creationId xmlns:a16="http://schemas.microsoft.com/office/drawing/2014/main" id="{97943B16-D33C-446D-8D8B-567680DE14BE}"/>
            </a:ext>
          </a:extLst>
        </xdr:cNvPr>
        <xdr:cNvSpPr/>
      </xdr:nvSpPr>
      <xdr:spPr>
        <a:xfrm>
          <a:off x="322529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8" name="Rectangle: Rounded Corners 17">
          <a:hlinkClick xmlns:r="http://schemas.openxmlformats.org/officeDocument/2006/relationships" r:id="rId1"/>
          <a:extLst>
            <a:ext uri="{FF2B5EF4-FFF2-40B4-BE49-F238E27FC236}">
              <a16:creationId xmlns:a16="http://schemas.microsoft.com/office/drawing/2014/main" id="{1CA1E666-AC0A-4443-9890-F6F074D68C8A}"/>
            </a:ext>
          </a:extLst>
        </xdr:cNvPr>
        <xdr:cNvSpPr/>
      </xdr:nvSpPr>
      <xdr:spPr>
        <a:xfrm>
          <a:off x="300812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4388F1B2-2F6D-4233-A162-0ED2CBE16111}"/>
            </a:ext>
          </a:extLst>
        </xdr:cNvPr>
        <xdr:cNvSpPr/>
      </xdr:nvSpPr>
      <xdr:spPr>
        <a:xfrm>
          <a:off x="3008122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9" name="Rectangle: Rounded Corners 18">
          <a:hlinkClick xmlns:r="http://schemas.openxmlformats.org/officeDocument/2006/relationships" r:id="rId1"/>
          <a:extLst>
            <a:ext uri="{FF2B5EF4-FFF2-40B4-BE49-F238E27FC236}">
              <a16:creationId xmlns:a16="http://schemas.microsoft.com/office/drawing/2014/main" id="{04281925-4FA8-4317-80E4-CAFC40AABAAC}"/>
            </a:ext>
          </a:extLst>
        </xdr:cNvPr>
        <xdr:cNvSpPr/>
      </xdr:nvSpPr>
      <xdr:spPr>
        <a:xfrm>
          <a:off x="29067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0" name="Rectangle: Rounded Corners 19">
          <a:hlinkClick xmlns:r="http://schemas.openxmlformats.org/officeDocument/2006/relationships" r:id="rId1"/>
          <a:extLst>
            <a:ext uri="{FF2B5EF4-FFF2-40B4-BE49-F238E27FC236}">
              <a16:creationId xmlns:a16="http://schemas.microsoft.com/office/drawing/2014/main" id="{9DA1ADAF-A2A4-4359-9AB9-F8E32EE72F9D}"/>
            </a:ext>
          </a:extLst>
        </xdr:cNvPr>
        <xdr:cNvSpPr/>
      </xdr:nvSpPr>
      <xdr:spPr>
        <a:xfrm>
          <a:off x="2669794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1" name="Rectangle: Rounded Corners 20">
          <a:hlinkClick xmlns:r="http://schemas.openxmlformats.org/officeDocument/2006/relationships" r:id="rId1"/>
          <a:extLst>
            <a:ext uri="{FF2B5EF4-FFF2-40B4-BE49-F238E27FC236}">
              <a16:creationId xmlns:a16="http://schemas.microsoft.com/office/drawing/2014/main" id="{8965BEFF-7833-4F4C-952B-459D3DEAF2EA}"/>
            </a:ext>
          </a:extLst>
        </xdr:cNvPr>
        <xdr:cNvSpPr/>
      </xdr:nvSpPr>
      <xdr:spPr>
        <a:xfrm>
          <a:off x="2519680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2" name="Rectangle: Rounded Corners 21">
          <a:hlinkClick xmlns:r="http://schemas.openxmlformats.org/officeDocument/2006/relationships" r:id="rId1"/>
          <a:extLst>
            <a:ext uri="{FF2B5EF4-FFF2-40B4-BE49-F238E27FC236}">
              <a16:creationId xmlns:a16="http://schemas.microsoft.com/office/drawing/2014/main" id="{57D9BC40-7113-4C59-A31F-F6F9EEE4500A}"/>
            </a:ext>
          </a:extLst>
        </xdr:cNvPr>
        <xdr:cNvSpPr/>
      </xdr:nvSpPr>
      <xdr:spPr>
        <a:xfrm>
          <a:off x="15580360" y="63500"/>
          <a:ext cx="7220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2759075</xdr:colOff>
      <xdr:row>0</xdr:row>
      <xdr:rowOff>63500</xdr:rowOff>
    </xdr:from>
    <xdr:to>
      <xdr:col>6</xdr:col>
      <xdr:colOff>3941071</xdr:colOff>
      <xdr:row>1</xdr:row>
      <xdr:rowOff>47155</xdr:rowOff>
    </xdr:to>
    <xdr:sp macro="" textlink="">
      <xdr:nvSpPr>
        <xdr:cNvPr id="23" name="Rectangle: Rounded Corners 22">
          <a:hlinkClick xmlns:r="http://schemas.openxmlformats.org/officeDocument/2006/relationships" r:id="rId1"/>
          <a:extLst>
            <a:ext uri="{FF2B5EF4-FFF2-40B4-BE49-F238E27FC236}">
              <a16:creationId xmlns:a16="http://schemas.microsoft.com/office/drawing/2014/main" id="{B64B036B-97EC-428B-998B-323374A0F9E8}"/>
            </a:ext>
          </a:extLst>
        </xdr:cNvPr>
        <xdr:cNvSpPr/>
      </xdr:nvSpPr>
      <xdr:spPr>
        <a:xfrm>
          <a:off x="31349315" y="63500"/>
          <a:ext cx="1181996" cy="16653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7</xdr:col>
      <xdr:colOff>2755900</xdr:colOff>
      <xdr:row>0</xdr:row>
      <xdr:rowOff>63500</xdr:rowOff>
    </xdr:from>
    <xdr:to>
      <xdr:col>7</xdr:col>
      <xdr:colOff>3935185</xdr:colOff>
      <xdr:row>1</xdr:row>
      <xdr:rowOff>59872</xdr:rowOff>
    </xdr:to>
    <xdr:sp macro="" textlink="">
      <xdr:nvSpPr>
        <xdr:cNvPr id="24" name="Rectangle: Rounded Corners 23">
          <a:hlinkClick xmlns:r="http://schemas.openxmlformats.org/officeDocument/2006/relationships" r:id="rId1"/>
          <a:extLst>
            <a:ext uri="{FF2B5EF4-FFF2-40B4-BE49-F238E27FC236}">
              <a16:creationId xmlns:a16="http://schemas.microsoft.com/office/drawing/2014/main" id="{7CD9EB50-C4D2-4E08-94C7-54C8A93CC0F4}"/>
            </a:ext>
          </a:extLst>
        </xdr:cNvPr>
        <xdr:cNvSpPr/>
      </xdr:nvSpPr>
      <xdr:spPr>
        <a:xfrm>
          <a:off x="2715514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6" name="Rectangle: Rounded Corners 25">
          <a:hlinkClick xmlns:r="http://schemas.openxmlformats.org/officeDocument/2006/relationships" r:id="rId1"/>
          <a:extLst>
            <a:ext uri="{FF2B5EF4-FFF2-40B4-BE49-F238E27FC236}">
              <a16:creationId xmlns:a16="http://schemas.microsoft.com/office/drawing/2014/main" id="{ED8BD0A6-E57E-406B-8855-53E18EDEB6DA}"/>
            </a:ext>
          </a:extLst>
        </xdr:cNvPr>
        <xdr:cNvSpPr/>
      </xdr:nvSpPr>
      <xdr:spPr>
        <a:xfrm>
          <a:off x="233908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5" name="Rectangle: Rounded Corners 24">
          <a:hlinkClick xmlns:r="http://schemas.openxmlformats.org/officeDocument/2006/relationships" r:id="rId1"/>
          <a:extLst>
            <a:ext uri="{FF2B5EF4-FFF2-40B4-BE49-F238E27FC236}">
              <a16:creationId xmlns:a16="http://schemas.microsoft.com/office/drawing/2014/main" id="{C97ADC18-E2CE-43AD-B318-17C158705FD5}"/>
            </a:ext>
          </a:extLst>
        </xdr:cNvPr>
        <xdr:cNvSpPr/>
      </xdr:nvSpPr>
      <xdr:spPr>
        <a:xfrm>
          <a:off x="25661620" y="63500"/>
          <a:ext cx="6839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8" name="Rectangle: Rounded Corners 27">
          <a:hlinkClick xmlns:r="http://schemas.openxmlformats.org/officeDocument/2006/relationships" r:id="rId1"/>
          <a:extLst>
            <a:ext uri="{FF2B5EF4-FFF2-40B4-BE49-F238E27FC236}">
              <a16:creationId xmlns:a16="http://schemas.microsoft.com/office/drawing/2014/main" id="{9A6627F0-E338-4889-9D6F-94B4C30528EF}"/>
            </a:ext>
          </a:extLst>
        </xdr:cNvPr>
        <xdr:cNvSpPr/>
      </xdr:nvSpPr>
      <xdr:spPr>
        <a:xfrm>
          <a:off x="22590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7" name="Rectangle: Rounded Corners 26">
          <a:hlinkClick xmlns:r="http://schemas.openxmlformats.org/officeDocument/2006/relationships" r:id="rId1"/>
          <a:extLst>
            <a:ext uri="{FF2B5EF4-FFF2-40B4-BE49-F238E27FC236}">
              <a16:creationId xmlns:a16="http://schemas.microsoft.com/office/drawing/2014/main" id="{FCEF3ECC-1157-4431-9869-3D869B140321}"/>
            </a:ext>
          </a:extLst>
        </xdr:cNvPr>
        <xdr:cNvSpPr/>
      </xdr:nvSpPr>
      <xdr:spPr>
        <a:xfrm>
          <a:off x="3094990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0" name="Rectangle: Rounded Corners 29">
          <a:hlinkClick xmlns:r="http://schemas.openxmlformats.org/officeDocument/2006/relationships" r:id="rId1"/>
          <a:extLst>
            <a:ext uri="{FF2B5EF4-FFF2-40B4-BE49-F238E27FC236}">
              <a16:creationId xmlns:a16="http://schemas.microsoft.com/office/drawing/2014/main" id="{A8BEFCE2-8334-4386-B735-50D1AFA4607C}"/>
            </a:ext>
          </a:extLst>
        </xdr:cNvPr>
        <xdr:cNvSpPr/>
      </xdr:nvSpPr>
      <xdr:spPr>
        <a:xfrm>
          <a:off x="22590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1" name="Rectangle: Rounded Corners 30">
          <a:hlinkClick xmlns:r="http://schemas.openxmlformats.org/officeDocument/2006/relationships" r:id="rId1"/>
          <a:extLst>
            <a:ext uri="{FF2B5EF4-FFF2-40B4-BE49-F238E27FC236}">
              <a16:creationId xmlns:a16="http://schemas.microsoft.com/office/drawing/2014/main" id="{8FF18DC9-C6D3-4DF4-8662-D734845D6626}"/>
            </a:ext>
          </a:extLst>
        </xdr:cNvPr>
        <xdr:cNvSpPr/>
      </xdr:nvSpPr>
      <xdr:spPr>
        <a:xfrm>
          <a:off x="27886660" y="63500"/>
          <a:ext cx="1179285" cy="19449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2" name="Rectangle: Rounded Corners 31">
          <a:hlinkClick xmlns:r="http://schemas.openxmlformats.org/officeDocument/2006/relationships" r:id="rId1"/>
          <a:extLst>
            <a:ext uri="{FF2B5EF4-FFF2-40B4-BE49-F238E27FC236}">
              <a16:creationId xmlns:a16="http://schemas.microsoft.com/office/drawing/2014/main" id="{8BDF859B-3C07-4279-9928-4659949916C6}"/>
            </a:ext>
          </a:extLst>
        </xdr:cNvPr>
        <xdr:cNvSpPr/>
      </xdr:nvSpPr>
      <xdr:spPr>
        <a:xfrm>
          <a:off x="320395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29" name="Rectangle: Rounded Corners 28">
          <a:hlinkClick xmlns:r="http://schemas.openxmlformats.org/officeDocument/2006/relationships" r:id="rId1"/>
          <a:extLst>
            <a:ext uri="{FF2B5EF4-FFF2-40B4-BE49-F238E27FC236}">
              <a16:creationId xmlns:a16="http://schemas.microsoft.com/office/drawing/2014/main" id="{E6AA54CA-085B-4CA8-90E2-BFDB6D6B02B1}"/>
            </a:ext>
          </a:extLst>
        </xdr:cNvPr>
        <xdr:cNvSpPr/>
      </xdr:nvSpPr>
      <xdr:spPr>
        <a:xfrm>
          <a:off x="2658364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3" name="Rectangle: Rounded Corners 32">
          <a:hlinkClick xmlns:r="http://schemas.openxmlformats.org/officeDocument/2006/relationships" r:id="rId1"/>
          <a:extLst>
            <a:ext uri="{FF2B5EF4-FFF2-40B4-BE49-F238E27FC236}">
              <a16:creationId xmlns:a16="http://schemas.microsoft.com/office/drawing/2014/main" id="{EB7C8EFD-DBEB-4C28-BFA4-75E516546B7F}"/>
            </a:ext>
          </a:extLst>
        </xdr:cNvPr>
        <xdr:cNvSpPr/>
      </xdr:nvSpPr>
      <xdr:spPr>
        <a:xfrm>
          <a:off x="212572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4" name="Rectangle: Rounded Corners 33">
          <a:hlinkClick xmlns:r="http://schemas.openxmlformats.org/officeDocument/2006/relationships" r:id="rId1"/>
          <a:extLst>
            <a:ext uri="{FF2B5EF4-FFF2-40B4-BE49-F238E27FC236}">
              <a16:creationId xmlns:a16="http://schemas.microsoft.com/office/drawing/2014/main" id="{B8815C62-F39C-4970-8D22-D92F38F409BB}"/>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5" name="Rectangle: Rounded Corners 34">
          <a:hlinkClick xmlns:r="http://schemas.openxmlformats.org/officeDocument/2006/relationships" r:id="rId1"/>
          <a:extLst>
            <a:ext uri="{FF2B5EF4-FFF2-40B4-BE49-F238E27FC236}">
              <a16:creationId xmlns:a16="http://schemas.microsoft.com/office/drawing/2014/main" id="{1DDC6FF1-5266-4C9C-B990-55BE806E0994}"/>
            </a:ext>
          </a:extLst>
        </xdr:cNvPr>
        <xdr:cNvSpPr/>
      </xdr:nvSpPr>
      <xdr:spPr>
        <a:xfrm>
          <a:off x="239623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6" name="Rectangle: Rounded Corners 35">
          <a:hlinkClick xmlns:r="http://schemas.openxmlformats.org/officeDocument/2006/relationships" r:id="rId1"/>
          <a:extLst>
            <a:ext uri="{FF2B5EF4-FFF2-40B4-BE49-F238E27FC236}">
              <a16:creationId xmlns:a16="http://schemas.microsoft.com/office/drawing/2014/main" id="{29AFE458-A4EE-4B63-B976-B00A708DDC71}"/>
            </a:ext>
          </a:extLst>
        </xdr:cNvPr>
        <xdr:cNvSpPr/>
      </xdr:nvSpPr>
      <xdr:spPr>
        <a:xfrm>
          <a:off x="239623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7" name="Rectangle: Rounded Corners 36">
          <a:hlinkClick xmlns:r="http://schemas.openxmlformats.org/officeDocument/2006/relationships" r:id="rId1"/>
          <a:extLst>
            <a:ext uri="{FF2B5EF4-FFF2-40B4-BE49-F238E27FC236}">
              <a16:creationId xmlns:a16="http://schemas.microsoft.com/office/drawing/2014/main" id="{9F9B0384-CA5F-4850-A9CE-876ED992E3E0}"/>
            </a:ext>
          </a:extLst>
        </xdr:cNvPr>
        <xdr:cNvSpPr/>
      </xdr:nvSpPr>
      <xdr:spPr>
        <a:xfrm>
          <a:off x="226288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8" name="Rectangle: Rounded Corners 37">
          <a:hlinkClick xmlns:r="http://schemas.openxmlformats.org/officeDocument/2006/relationships" r:id="rId1"/>
          <a:extLst>
            <a:ext uri="{FF2B5EF4-FFF2-40B4-BE49-F238E27FC236}">
              <a16:creationId xmlns:a16="http://schemas.microsoft.com/office/drawing/2014/main" id="{5DC22865-026E-4035-A385-0831F07ED5CC}"/>
            </a:ext>
          </a:extLst>
        </xdr:cNvPr>
        <xdr:cNvSpPr/>
      </xdr:nvSpPr>
      <xdr:spPr>
        <a:xfrm>
          <a:off x="226288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39" name="Rectangle: Rounded Corners 38">
          <a:hlinkClick xmlns:r="http://schemas.openxmlformats.org/officeDocument/2006/relationships" r:id="rId1"/>
          <a:extLst>
            <a:ext uri="{FF2B5EF4-FFF2-40B4-BE49-F238E27FC236}">
              <a16:creationId xmlns:a16="http://schemas.microsoft.com/office/drawing/2014/main" id="{EE49BA49-8800-4691-8A15-86C7F9DF949D}"/>
            </a:ext>
          </a:extLst>
        </xdr:cNvPr>
        <xdr:cNvSpPr/>
      </xdr:nvSpPr>
      <xdr:spPr>
        <a:xfrm>
          <a:off x="226288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0" name="Rectangle: Rounded Corners 39">
          <a:hlinkClick xmlns:r="http://schemas.openxmlformats.org/officeDocument/2006/relationships" r:id="rId1"/>
          <a:extLst>
            <a:ext uri="{FF2B5EF4-FFF2-40B4-BE49-F238E27FC236}">
              <a16:creationId xmlns:a16="http://schemas.microsoft.com/office/drawing/2014/main" id="{0D76FB44-3FB2-4B5D-8969-072722AC4E42}"/>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1" name="Rectangle: Rounded Corners 40">
          <a:hlinkClick xmlns:r="http://schemas.openxmlformats.org/officeDocument/2006/relationships" r:id="rId1"/>
          <a:extLst>
            <a:ext uri="{FF2B5EF4-FFF2-40B4-BE49-F238E27FC236}">
              <a16:creationId xmlns:a16="http://schemas.microsoft.com/office/drawing/2014/main" id="{B856BCFC-D72E-4405-9F2F-3945D94F056F}"/>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2" name="Rectangle: Rounded Corners 41">
          <a:hlinkClick xmlns:r="http://schemas.openxmlformats.org/officeDocument/2006/relationships" r:id="rId1"/>
          <a:extLst>
            <a:ext uri="{FF2B5EF4-FFF2-40B4-BE49-F238E27FC236}">
              <a16:creationId xmlns:a16="http://schemas.microsoft.com/office/drawing/2014/main" id="{7178D827-2175-49FA-B60C-585C186C2857}"/>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3" name="Rectangle: Rounded Corners 42">
          <a:hlinkClick xmlns:r="http://schemas.openxmlformats.org/officeDocument/2006/relationships" r:id="rId1"/>
          <a:extLst>
            <a:ext uri="{FF2B5EF4-FFF2-40B4-BE49-F238E27FC236}">
              <a16:creationId xmlns:a16="http://schemas.microsoft.com/office/drawing/2014/main" id="{DA6BDA04-90EA-448B-8155-1A826C7F6552}"/>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4" name="Rectangle: Rounded Corners 43">
          <a:hlinkClick xmlns:r="http://schemas.openxmlformats.org/officeDocument/2006/relationships" r:id="rId1"/>
          <a:extLst>
            <a:ext uri="{FF2B5EF4-FFF2-40B4-BE49-F238E27FC236}">
              <a16:creationId xmlns:a16="http://schemas.microsoft.com/office/drawing/2014/main" id="{2B93A707-8479-43D9-B7C4-714C938AC20F}"/>
            </a:ext>
          </a:extLst>
        </xdr:cNvPr>
        <xdr:cNvSpPr/>
      </xdr:nvSpPr>
      <xdr:spPr>
        <a:xfrm>
          <a:off x="255625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5" name="Rectangle: Rounded Corners 44">
          <a:hlinkClick xmlns:r="http://schemas.openxmlformats.org/officeDocument/2006/relationships" r:id="rId1"/>
          <a:extLst>
            <a:ext uri="{FF2B5EF4-FFF2-40B4-BE49-F238E27FC236}">
              <a16:creationId xmlns:a16="http://schemas.microsoft.com/office/drawing/2014/main" id="{55E6BD48-BF4D-4D5C-BB4B-8D83994DA174}"/>
            </a:ext>
          </a:extLst>
        </xdr:cNvPr>
        <xdr:cNvSpPr/>
      </xdr:nvSpPr>
      <xdr:spPr>
        <a:xfrm>
          <a:off x="255625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6" name="Rectangle: Rounded Corners 45">
          <a:hlinkClick xmlns:r="http://schemas.openxmlformats.org/officeDocument/2006/relationships" r:id="rId1"/>
          <a:extLst>
            <a:ext uri="{FF2B5EF4-FFF2-40B4-BE49-F238E27FC236}">
              <a16:creationId xmlns:a16="http://schemas.microsoft.com/office/drawing/2014/main" id="{C1B94718-ED6D-4C89-8CE0-6A19D3D8BE41}"/>
            </a:ext>
          </a:extLst>
        </xdr:cNvPr>
        <xdr:cNvSpPr/>
      </xdr:nvSpPr>
      <xdr:spPr>
        <a:xfrm>
          <a:off x="255625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7" name="Rectangle: Rounded Corners 46">
          <a:hlinkClick xmlns:r="http://schemas.openxmlformats.org/officeDocument/2006/relationships" r:id="rId1"/>
          <a:extLst>
            <a:ext uri="{FF2B5EF4-FFF2-40B4-BE49-F238E27FC236}">
              <a16:creationId xmlns:a16="http://schemas.microsoft.com/office/drawing/2014/main" id="{AA256221-89B4-41EB-AC2F-80B4C541CC36}"/>
            </a:ext>
          </a:extLst>
        </xdr:cNvPr>
        <xdr:cNvSpPr/>
      </xdr:nvSpPr>
      <xdr:spPr>
        <a:xfrm>
          <a:off x="255625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8" name="Rectangle: Rounded Corners 47">
          <a:hlinkClick xmlns:r="http://schemas.openxmlformats.org/officeDocument/2006/relationships" r:id="rId1"/>
          <a:extLst>
            <a:ext uri="{FF2B5EF4-FFF2-40B4-BE49-F238E27FC236}">
              <a16:creationId xmlns:a16="http://schemas.microsoft.com/office/drawing/2014/main" id="{407A13DA-83C8-4265-97D6-924A18EF6A27}"/>
            </a:ext>
          </a:extLst>
        </xdr:cNvPr>
        <xdr:cNvSpPr/>
      </xdr:nvSpPr>
      <xdr:spPr>
        <a:xfrm>
          <a:off x="255625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49" name="Rectangle: Rounded Corners 48">
          <a:hlinkClick xmlns:r="http://schemas.openxmlformats.org/officeDocument/2006/relationships" r:id="rId1"/>
          <a:extLst>
            <a:ext uri="{FF2B5EF4-FFF2-40B4-BE49-F238E27FC236}">
              <a16:creationId xmlns:a16="http://schemas.microsoft.com/office/drawing/2014/main" id="{A85F3045-A1CD-4B81-A1E8-ABBB98FD80F4}"/>
            </a:ext>
          </a:extLst>
        </xdr:cNvPr>
        <xdr:cNvSpPr/>
      </xdr:nvSpPr>
      <xdr:spPr>
        <a:xfrm>
          <a:off x="254292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0" name="Rectangle: Rounded Corners 49">
          <a:hlinkClick xmlns:r="http://schemas.openxmlformats.org/officeDocument/2006/relationships" r:id="rId1"/>
          <a:extLst>
            <a:ext uri="{FF2B5EF4-FFF2-40B4-BE49-F238E27FC236}">
              <a16:creationId xmlns:a16="http://schemas.microsoft.com/office/drawing/2014/main" id="{51A86B26-6A5E-493D-9E14-1F517FB41F20}"/>
            </a:ext>
          </a:extLst>
        </xdr:cNvPr>
        <xdr:cNvSpPr/>
      </xdr:nvSpPr>
      <xdr:spPr>
        <a:xfrm>
          <a:off x="254292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1" name="Rectangle: Rounded Corners 50">
          <a:hlinkClick xmlns:r="http://schemas.openxmlformats.org/officeDocument/2006/relationships" r:id="rId1"/>
          <a:extLst>
            <a:ext uri="{FF2B5EF4-FFF2-40B4-BE49-F238E27FC236}">
              <a16:creationId xmlns:a16="http://schemas.microsoft.com/office/drawing/2014/main" id="{D757DF22-559D-45F2-851F-F2A0C67F758D}"/>
            </a:ext>
          </a:extLst>
        </xdr:cNvPr>
        <xdr:cNvSpPr/>
      </xdr:nvSpPr>
      <xdr:spPr>
        <a:xfrm>
          <a:off x="254292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2" name="Rectangle: Rounded Corners 51">
          <a:hlinkClick xmlns:r="http://schemas.openxmlformats.org/officeDocument/2006/relationships" r:id="rId1"/>
          <a:extLst>
            <a:ext uri="{FF2B5EF4-FFF2-40B4-BE49-F238E27FC236}">
              <a16:creationId xmlns:a16="http://schemas.microsoft.com/office/drawing/2014/main" id="{86D78F73-B5AA-43C9-868F-C6BB37F7C8DE}"/>
            </a:ext>
          </a:extLst>
        </xdr:cNvPr>
        <xdr:cNvSpPr/>
      </xdr:nvSpPr>
      <xdr:spPr>
        <a:xfrm>
          <a:off x="254292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3" name="Rectangle: Rounded Corners 52">
          <a:hlinkClick xmlns:r="http://schemas.openxmlformats.org/officeDocument/2006/relationships" r:id="rId1"/>
          <a:extLst>
            <a:ext uri="{FF2B5EF4-FFF2-40B4-BE49-F238E27FC236}">
              <a16:creationId xmlns:a16="http://schemas.microsoft.com/office/drawing/2014/main" id="{F262EE81-F1F1-4C66-8709-D549DFD641F5}"/>
            </a:ext>
          </a:extLst>
        </xdr:cNvPr>
        <xdr:cNvSpPr/>
      </xdr:nvSpPr>
      <xdr:spPr>
        <a:xfrm>
          <a:off x="254292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4" name="Rectangle: Rounded Corners 53">
          <a:hlinkClick xmlns:r="http://schemas.openxmlformats.org/officeDocument/2006/relationships" r:id="rId1"/>
          <a:extLst>
            <a:ext uri="{FF2B5EF4-FFF2-40B4-BE49-F238E27FC236}">
              <a16:creationId xmlns:a16="http://schemas.microsoft.com/office/drawing/2014/main" id="{EB47C1C9-76D2-451D-9FB0-8429A093FD91}"/>
            </a:ext>
          </a:extLst>
        </xdr:cNvPr>
        <xdr:cNvSpPr/>
      </xdr:nvSpPr>
      <xdr:spPr>
        <a:xfrm>
          <a:off x="254292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5" name="Rectangle: Rounded Corners 54">
          <a:hlinkClick xmlns:r="http://schemas.openxmlformats.org/officeDocument/2006/relationships" r:id="rId1"/>
          <a:extLst>
            <a:ext uri="{FF2B5EF4-FFF2-40B4-BE49-F238E27FC236}">
              <a16:creationId xmlns:a16="http://schemas.microsoft.com/office/drawing/2014/main" id="{85E86CC6-2211-47E3-BCA6-5CFF7BBEABE3}"/>
            </a:ext>
          </a:extLst>
        </xdr:cNvPr>
        <xdr:cNvSpPr/>
      </xdr:nvSpPr>
      <xdr:spPr>
        <a:xfrm>
          <a:off x="221811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6" name="Rectangle: Rounded Corners 55">
          <a:hlinkClick xmlns:r="http://schemas.openxmlformats.org/officeDocument/2006/relationships" r:id="rId1"/>
          <a:extLst>
            <a:ext uri="{FF2B5EF4-FFF2-40B4-BE49-F238E27FC236}">
              <a16:creationId xmlns:a16="http://schemas.microsoft.com/office/drawing/2014/main" id="{85212961-C2F8-4E6A-809D-80F56F197CE5}"/>
            </a:ext>
          </a:extLst>
        </xdr:cNvPr>
        <xdr:cNvSpPr/>
      </xdr:nvSpPr>
      <xdr:spPr>
        <a:xfrm>
          <a:off x="221811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7" name="Rectangle: Rounded Corners 56">
          <a:hlinkClick xmlns:r="http://schemas.openxmlformats.org/officeDocument/2006/relationships" r:id="rId1"/>
          <a:extLst>
            <a:ext uri="{FF2B5EF4-FFF2-40B4-BE49-F238E27FC236}">
              <a16:creationId xmlns:a16="http://schemas.microsoft.com/office/drawing/2014/main" id="{52C20763-577C-4C4F-82DA-6E5409DCFF48}"/>
            </a:ext>
          </a:extLst>
        </xdr:cNvPr>
        <xdr:cNvSpPr/>
      </xdr:nvSpPr>
      <xdr:spPr>
        <a:xfrm>
          <a:off x="221811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8" name="Rectangle: Rounded Corners 57">
          <a:hlinkClick xmlns:r="http://schemas.openxmlformats.org/officeDocument/2006/relationships" r:id="rId1"/>
          <a:extLst>
            <a:ext uri="{FF2B5EF4-FFF2-40B4-BE49-F238E27FC236}">
              <a16:creationId xmlns:a16="http://schemas.microsoft.com/office/drawing/2014/main" id="{5F7790CE-987A-463D-A139-8F2E968860E3}"/>
            </a:ext>
          </a:extLst>
        </xdr:cNvPr>
        <xdr:cNvSpPr/>
      </xdr:nvSpPr>
      <xdr:spPr>
        <a:xfrm>
          <a:off x="221811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59" name="Rectangle: Rounded Corners 58">
          <a:hlinkClick xmlns:r="http://schemas.openxmlformats.org/officeDocument/2006/relationships" r:id="rId1"/>
          <a:extLst>
            <a:ext uri="{FF2B5EF4-FFF2-40B4-BE49-F238E27FC236}">
              <a16:creationId xmlns:a16="http://schemas.microsoft.com/office/drawing/2014/main" id="{07FCDF24-83FB-484D-AC44-553A41FC2E34}"/>
            </a:ext>
          </a:extLst>
        </xdr:cNvPr>
        <xdr:cNvSpPr/>
      </xdr:nvSpPr>
      <xdr:spPr>
        <a:xfrm>
          <a:off x="221811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0" name="Rectangle: Rounded Corners 59">
          <a:hlinkClick xmlns:r="http://schemas.openxmlformats.org/officeDocument/2006/relationships" r:id="rId1"/>
          <a:extLst>
            <a:ext uri="{FF2B5EF4-FFF2-40B4-BE49-F238E27FC236}">
              <a16:creationId xmlns:a16="http://schemas.microsoft.com/office/drawing/2014/main" id="{C25C5AA8-A162-4B40-9398-57F26D334CBA}"/>
            </a:ext>
          </a:extLst>
        </xdr:cNvPr>
        <xdr:cNvSpPr/>
      </xdr:nvSpPr>
      <xdr:spPr>
        <a:xfrm>
          <a:off x="221811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1" name="Rectangle: Rounded Corners 60">
          <a:hlinkClick xmlns:r="http://schemas.openxmlformats.org/officeDocument/2006/relationships" r:id="rId1"/>
          <a:extLst>
            <a:ext uri="{FF2B5EF4-FFF2-40B4-BE49-F238E27FC236}">
              <a16:creationId xmlns:a16="http://schemas.microsoft.com/office/drawing/2014/main" id="{7D071803-9D79-4DD0-8548-1922DD38A56B}"/>
            </a:ext>
          </a:extLst>
        </xdr:cNvPr>
        <xdr:cNvSpPr/>
      </xdr:nvSpPr>
      <xdr:spPr>
        <a:xfrm>
          <a:off x="221811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2" name="Rectangle: Rounded Corners 61">
          <a:hlinkClick xmlns:r="http://schemas.openxmlformats.org/officeDocument/2006/relationships" r:id="rId1"/>
          <a:extLst>
            <a:ext uri="{FF2B5EF4-FFF2-40B4-BE49-F238E27FC236}">
              <a16:creationId xmlns:a16="http://schemas.microsoft.com/office/drawing/2014/main" id="{47D6D544-A0FB-4F54-AF28-41BF83931FF2}"/>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3" name="Rectangle: Rounded Corners 62">
          <a:hlinkClick xmlns:r="http://schemas.openxmlformats.org/officeDocument/2006/relationships" r:id="rId1"/>
          <a:extLst>
            <a:ext uri="{FF2B5EF4-FFF2-40B4-BE49-F238E27FC236}">
              <a16:creationId xmlns:a16="http://schemas.microsoft.com/office/drawing/2014/main" id="{3CF1F75F-5277-40BB-8456-52D76DBD28D6}"/>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4" name="Rectangle: Rounded Corners 63">
          <a:hlinkClick xmlns:r="http://schemas.openxmlformats.org/officeDocument/2006/relationships" r:id="rId1"/>
          <a:extLst>
            <a:ext uri="{FF2B5EF4-FFF2-40B4-BE49-F238E27FC236}">
              <a16:creationId xmlns:a16="http://schemas.microsoft.com/office/drawing/2014/main" id="{0F689C5C-DBC1-41EA-B458-143E4F1FA52A}"/>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5" name="Rectangle: Rounded Corners 64">
          <a:hlinkClick xmlns:r="http://schemas.openxmlformats.org/officeDocument/2006/relationships" r:id="rId1"/>
          <a:extLst>
            <a:ext uri="{FF2B5EF4-FFF2-40B4-BE49-F238E27FC236}">
              <a16:creationId xmlns:a16="http://schemas.microsoft.com/office/drawing/2014/main" id="{AFBDD7B1-D71C-423D-9AE8-B445CC2CC219}"/>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6" name="Rectangle: Rounded Corners 65">
          <a:hlinkClick xmlns:r="http://schemas.openxmlformats.org/officeDocument/2006/relationships" r:id="rId1"/>
          <a:extLst>
            <a:ext uri="{FF2B5EF4-FFF2-40B4-BE49-F238E27FC236}">
              <a16:creationId xmlns:a16="http://schemas.microsoft.com/office/drawing/2014/main" id="{4E246A92-F119-4C8D-9B60-A25DF0136A5C}"/>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7" name="Rectangle: Rounded Corners 66">
          <a:hlinkClick xmlns:r="http://schemas.openxmlformats.org/officeDocument/2006/relationships" r:id="rId1"/>
          <a:extLst>
            <a:ext uri="{FF2B5EF4-FFF2-40B4-BE49-F238E27FC236}">
              <a16:creationId xmlns:a16="http://schemas.microsoft.com/office/drawing/2014/main" id="{51249D21-B1D2-4F95-9704-1D9F985F210D}"/>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8" name="Rectangle: Rounded Corners 67">
          <a:hlinkClick xmlns:r="http://schemas.openxmlformats.org/officeDocument/2006/relationships" r:id="rId1"/>
          <a:extLst>
            <a:ext uri="{FF2B5EF4-FFF2-40B4-BE49-F238E27FC236}">
              <a16:creationId xmlns:a16="http://schemas.microsoft.com/office/drawing/2014/main" id="{9615C641-522A-408F-ADC7-3985174BE682}"/>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69" name="Rectangle: Rounded Corners 68">
          <a:hlinkClick xmlns:r="http://schemas.openxmlformats.org/officeDocument/2006/relationships" r:id="rId1"/>
          <a:extLst>
            <a:ext uri="{FF2B5EF4-FFF2-40B4-BE49-F238E27FC236}">
              <a16:creationId xmlns:a16="http://schemas.microsoft.com/office/drawing/2014/main" id="{4981D096-2BB1-45FF-AAD4-025A92BEE81F}"/>
            </a:ext>
          </a:extLst>
        </xdr:cNvPr>
        <xdr:cNvSpPr/>
      </xdr:nvSpPr>
      <xdr:spPr>
        <a:xfrm>
          <a:off x="2260981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0" name="Rectangle: Rounded Corners 69">
          <a:hlinkClick xmlns:r="http://schemas.openxmlformats.org/officeDocument/2006/relationships" r:id="rId1"/>
          <a:extLst>
            <a:ext uri="{FF2B5EF4-FFF2-40B4-BE49-F238E27FC236}">
              <a16:creationId xmlns:a16="http://schemas.microsoft.com/office/drawing/2014/main" id="{9A031216-53E2-4CB5-8491-2890D9264FE4}"/>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1" name="Rectangle: Rounded Corners 70">
          <a:hlinkClick xmlns:r="http://schemas.openxmlformats.org/officeDocument/2006/relationships" r:id="rId1"/>
          <a:extLst>
            <a:ext uri="{FF2B5EF4-FFF2-40B4-BE49-F238E27FC236}">
              <a16:creationId xmlns:a16="http://schemas.microsoft.com/office/drawing/2014/main" id="{BE41B5D5-DF8D-4292-996A-A8BFD37BD5FD}"/>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2" name="Rectangle: Rounded Corners 71">
          <a:hlinkClick xmlns:r="http://schemas.openxmlformats.org/officeDocument/2006/relationships" r:id="rId1"/>
          <a:extLst>
            <a:ext uri="{FF2B5EF4-FFF2-40B4-BE49-F238E27FC236}">
              <a16:creationId xmlns:a16="http://schemas.microsoft.com/office/drawing/2014/main" id="{DCB94D6B-E5EC-41DD-B8C2-9A20476EE177}"/>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3" name="Rectangle: Rounded Corners 72">
          <a:hlinkClick xmlns:r="http://schemas.openxmlformats.org/officeDocument/2006/relationships" r:id="rId1"/>
          <a:extLst>
            <a:ext uri="{FF2B5EF4-FFF2-40B4-BE49-F238E27FC236}">
              <a16:creationId xmlns:a16="http://schemas.microsoft.com/office/drawing/2014/main" id="{F069804D-6463-4581-9C64-D60FA0BF9D13}"/>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4" name="Rectangle: Rounded Corners 73">
          <a:hlinkClick xmlns:r="http://schemas.openxmlformats.org/officeDocument/2006/relationships" r:id="rId1"/>
          <a:extLst>
            <a:ext uri="{FF2B5EF4-FFF2-40B4-BE49-F238E27FC236}">
              <a16:creationId xmlns:a16="http://schemas.microsoft.com/office/drawing/2014/main" id="{66A5C3D1-57E5-44B5-8C8F-D86EDFCF8C82}"/>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5" name="Rectangle: Rounded Corners 74">
          <a:hlinkClick xmlns:r="http://schemas.openxmlformats.org/officeDocument/2006/relationships" r:id="rId1"/>
          <a:extLst>
            <a:ext uri="{FF2B5EF4-FFF2-40B4-BE49-F238E27FC236}">
              <a16:creationId xmlns:a16="http://schemas.microsoft.com/office/drawing/2014/main" id="{13BA6BC9-03A9-47DE-95CA-BF90AF5D407F}"/>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6" name="Rectangle: Rounded Corners 75">
          <a:hlinkClick xmlns:r="http://schemas.openxmlformats.org/officeDocument/2006/relationships" r:id="rId1"/>
          <a:extLst>
            <a:ext uri="{FF2B5EF4-FFF2-40B4-BE49-F238E27FC236}">
              <a16:creationId xmlns:a16="http://schemas.microsoft.com/office/drawing/2014/main" id="{BF7BD6AD-8739-4D4A-ADD4-54F567C5EBB5}"/>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7" name="Rectangle: Rounded Corners 76">
          <a:hlinkClick xmlns:r="http://schemas.openxmlformats.org/officeDocument/2006/relationships" r:id="rId1"/>
          <a:extLst>
            <a:ext uri="{FF2B5EF4-FFF2-40B4-BE49-F238E27FC236}">
              <a16:creationId xmlns:a16="http://schemas.microsoft.com/office/drawing/2014/main" id="{60C726EB-8352-4508-A5E9-2B0F93AC4630}"/>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8" name="Rectangle: Rounded Corners 77">
          <a:hlinkClick xmlns:r="http://schemas.openxmlformats.org/officeDocument/2006/relationships" r:id="rId1"/>
          <a:extLst>
            <a:ext uri="{FF2B5EF4-FFF2-40B4-BE49-F238E27FC236}">
              <a16:creationId xmlns:a16="http://schemas.microsoft.com/office/drawing/2014/main" id="{900AFC84-E1F2-4200-9A7A-6A02B36EC534}"/>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79" name="Rectangle: Rounded Corners 78">
          <a:hlinkClick xmlns:r="http://schemas.openxmlformats.org/officeDocument/2006/relationships" r:id="rId1"/>
          <a:extLst>
            <a:ext uri="{FF2B5EF4-FFF2-40B4-BE49-F238E27FC236}">
              <a16:creationId xmlns:a16="http://schemas.microsoft.com/office/drawing/2014/main" id="{0C2296C0-4F1C-44AE-9733-B72AB6CE0E14}"/>
            </a:ext>
          </a:extLst>
        </xdr:cNvPr>
        <xdr:cNvSpPr/>
      </xdr:nvSpPr>
      <xdr:spPr>
        <a:xfrm>
          <a:off x="2449576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2" name="Rectangle: Rounded Corners 101">
          <a:hlinkClick xmlns:r="http://schemas.openxmlformats.org/officeDocument/2006/relationships" r:id="rId1"/>
          <a:extLst>
            <a:ext uri="{FF2B5EF4-FFF2-40B4-BE49-F238E27FC236}">
              <a16:creationId xmlns:a16="http://schemas.microsoft.com/office/drawing/2014/main" id="{6E4A7B1E-F390-4CFC-AFCD-118656143D27}"/>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3" name="Rectangle: Rounded Corners 102">
          <a:hlinkClick xmlns:r="http://schemas.openxmlformats.org/officeDocument/2006/relationships" r:id="rId1"/>
          <a:extLst>
            <a:ext uri="{FF2B5EF4-FFF2-40B4-BE49-F238E27FC236}">
              <a16:creationId xmlns:a16="http://schemas.microsoft.com/office/drawing/2014/main" id="{3C655747-F69A-4338-9EAB-0D50AAE32B15}"/>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4" name="Rectangle: Rounded Corners 103">
          <a:hlinkClick xmlns:r="http://schemas.openxmlformats.org/officeDocument/2006/relationships" r:id="rId1"/>
          <a:extLst>
            <a:ext uri="{FF2B5EF4-FFF2-40B4-BE49-F238E27FC236}">
              <a16:creationId xmlns:a16="http://schemas.microsoft.com/office/drawing/2014/main" id="{CC72EDBC-BCB8-4846-8846-D3244D038B41}"/>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5" name="Rectangle: Rounded Corners 104">
          <a:hlinkClick xmlns:r="http://schemas.openxmlformats.org/officeDocument/2006/relationships" r:id="rId1"/>
          <a:extLst>
            <a:ext uri="{FF2B5EF4-FFF2-40B4-BE49-F238E27FC236}">
              <a16:creationId xmlns:a16="http://schemas.microsoft.com/office/drawing/2014/main" id="{B0218DDC-4426-4C81-910C-940932799A5D}"/>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6" name="Rectangle: Rounded Corners 105">
          <a:hlinkClick xmlns:r="http://schemas.openxmlformats.org/officeDocument/2006/relationships" r:id="rId1"/>
          <a:extLst>
            <a:ext uri="{FF2B5EF4-FFF2-40B4-BE49-F238E27FC236}">
              <a16:creationId xmlns:a16="http://schemas.microsoft.com/office/drawing/2014/main" id="{2B0EC7CA-902D-4AA2-8CF6-BD8B8B3FA44E}"/>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7" name="Rectangle: Rounded Corners 106">
          <a:hlinkClick xmlns:r="http://schemas.openxmlformats.org/officeDocument/2006/relationships" r:id="rId1"/>
          <a:extLst>
            <a:ext uri="{FF2B5EF4-FFF2-40B4-BE49-F238E27FC236}">
              <a16:creationId xmlns:a16="http://schemas.microsoft.com/office/drawing/2014/main" id="{A414B41D-BFD8-4893-8552-3A4AB3EF8555}"/>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8" name="Rectangle: Rounded Corners 107">
          <a:hlinkClick xmlns:r="http://schemas.openxmlformats.org/officeDocument/2006/relationships" r:id="rId1"/>
          <a:extLst>
            <a:ext uri="{FF2B5EF4-FFF2-40B4-BE49-F238E27FC236}">
              <a16:creationId xmlns:a16="http://schemas.microsoft.com/office/drawing/2014/main" id="{51EBF434-7E40-4A2D-8D17-00777474D0D9}"/>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9" name="Rectangle: Rounded Corners 108">
          <a:hlinkClick xmlns:r="http://schemas.openxmlformats.org/officeDocument/2006/relationships" r:id="rId1"/>
          <a:extLst>
            <a:ext uri="{FF2B5EF4-FFF2-40B4-BE49-F238E27FC236}">
              <a16:creationId xmlns:a16="http://schemas.microsoft.com/office/drawing/2014/main" id="{DE232A86-A67D-41DC-A118-06A0425C6FE6}"/>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0" name="Rectangle: Rounded Corners 109">
          <a:hlinkClick xmlns:r="http://schemas.openxmlformats.org/officeDocument/2006/relationships" r:id="rId1"/>
          <a:extLst>
            <a:ext uri="{FF2B5EF4-FFF2-40B4-BE49-F238E27FC236}">
              <a16:creationId xmlns:a16="http://schemas.microsoft.com/office/drawing/2014/main" id="{CDB7C718-386D-4AC3-BCC5-796408164F71}"/>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1" name="Rectangle: Rounded Corners 110">
          <a:hlinkClick xmlns:r="http://schemas.openxmlformats.org/officeDocument/2006/relationships" r:id="rId1"/>
          <a:extLst>
            <a:ext uri="{FF2B5EF4-FFF2-40B4-BE49-F238E27FC236}">
              <a16:creationId xmlns:a16="http://schemas.microsoft.com/office/drawing/2014/main" id="{0196720E-B955-421D-95CE-7CAA7A8F4561}"/>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2" name="Rectangle: Rounded Corners 111">
          <a:hlinkClick xmlns:r="http://schemas.openxmlformats.org/officeDocument/2006/relationships" r:id="rId1"/>
          <a:extLst>
            <a:ext uri="{FF2B5EF4-FFF2-40B4-BE49-F238E27FC236}">
              <a16:creationId xmlns:a16="http://schemas.microsoft.com/office/drawing/2014/main" id="{3447799F-3EE3-4417-846D-708AFE47C710}"/>
            </a:ext>
          </a:extLst>
        </xdr:cNvPr>
        <xdr:cNvSpPr/>
      </xdr:nvSpPr>
      <xdr:spPr>
        <a:xfrm>
          <a:off x="28381960"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0" name="Rectangle: Rounded Corners 79">
          <a:hlinkClick xmlns:r="http://schemas.openxmlformats.org/officeDocument/2006/relationships" r:id="rId1"/>
          <a:extLst>
            <a:ext uri="{FF2B5EF4-FFF2-40B4-BE49-F238E27FC236}">
              <a16:creationId xmlns:a16="http://schemas.microsoft.com/office/drawing/2014/main" id="{F7197902-A68E-44DD-9F47-993D6C52688C}"/>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1" name="Rectangle: Rounded Corners 80">
          <a:hlinkClick xmlns:r="http://schemas.openxmlformats.org/officeDocument/2006/relationships" r:id="rId1"/>
          <a:extLst>
            <a:ext uri="{FF2B5EF4-FFF2-40B4-BE49-F238E27FC236}">
              <a16:creationId xmlns:a16="http://schemas.microsoft.com/office/drawing/2014/main" id="{17B298FA-C68C-4E7B-8BF6-578797981081}"/>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2" name="Rectangle: Rounded Corners 81">
          <a:hlinkClick xmlns:r="http://schemas.openxmlformats.org/officeDocument/2006/relationships" r:id="rId1"/>
          <a:extLst>
            <a:ext uri="{FF2B5EF4-FFF2-40B4-BE49-F238E27FC236}">
              <a16:creationId xmlns:a16="http://schemas.microsoft.com/office/drawing/2014/main" id="{C60F0A6E-0ACE-4211-8365-D345BA414D2B}"/>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3" name="Rectangle: Rounded Corners 82">
          <a:hlinkClick xmlns:r="http://schemas.openxmlformats.org/officeDocument/2006/relationships" r:id="rId1"/>
          <a:extLst>
            <a:ext uri="{FF2B5EF4-FFF2-40B4-BE49-F238E27FC236}">
              <a16:creationId xmlns:a16="http://schemas.microsoft.com/office/drawing/2014/main" id="{CC0B9D7D-E8AF-4DA3-A689-FDE1C5F79755}"/>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4" name="Rectangle: Rounded Corners 83">
          <a:hlinkClick xmlns:r="http://schemas.openxmlformats.org/officeDocument/2006/relationships" r:id="rId1"/>
          <a:extLst>
            <a:ext uri="{FF2B5EF4-FFF2-40B4-BE49-F238E27FC236}">
              <a16:creationId xmlns:a16="http://schemas.microsoft.com/office/drawing/2014/main" id="{43B5425C-CABF-42AB-B2DA-14B1B2F93BFF}"/>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5" name="Rectangle: Rounded Corners 84">
          <a:hlinkClick xmlns:r="http://schemas.openxmlformats.org/officeDocument/2006/relationships" r:id="rId1"/>
          <a:extLst>
            <a:ext uri="{FF2B5EF4-FFF2-40B4-BE49-F238E27FC236}">
              <a16:creationId xmlns:a16="http://schemas.microsoft.com/office/drawing/2014/main" id="{689BB0E7-3620-4EA8-8E6B-74D4D6676E86}"/>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6" name="Rectangle: Rounded Corners 85">
          <a:hlinkClick xmlns:r="http://schemas.openxmlformats.org/officeDocument/2006/relationships" r:id="rId1"/>
          <a:extLst>
            <a:ext uri="{FF2B5EF4-FFF2-40B4-BE49-F238E27FC236}">
              <a16:creationId xmlns:a16="http://schemas.microsoft.com/office/drawing/2014/main" id="{477CE871-F4A2-4324-BA81-DE4FEB0DBF73}"/>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7" name="Rectangle: Rounded Corners 86">
          <a:hlinkClick xmlns:r="http://schemas.openxmlformats.org/officeDocument/2006/relationships" r:id="rId1"/>
          <a:extLst>
            <a:ext uri="{FF2B5EF4-FFF2-40B4-BE49-F238E27FC236}">
              <a16:creationId xmlns:a16="http://schemas.microsoft.com/office/drawing/2014/main" id="{76557E6C-9AC8-420E-B7AD-9ABC1DEF37E3}"/>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8" name="Rectangle: Rounded Corners 87">
          <a:hlinkClick xmlns:r="http://schemas.openxmlformats.org/officeDocument/2006/relationships" r:id="rId1"/>
          <a:extLst>
            <a:ext uri="{FF2B5EF4-FFF2-40B4-BE49-F238E27FC236}">
              <a16:creationId xmlns:a16="http://schemas.microsoft.com/office/drawing/2014/main" id="{7BE9F57A-8405-4599-B136-23311E2202C5}"/>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89" name="Rectangle: Rounded Corners 88">
          <a:hlinkClick xmlns:r="http://schemas.openxmlformats.org/officeDocument/2006/relationships" r:id="rId1"/>
          <a:extLst>
            <a:ext uri="{FF2B5EF4-FFF2-40B4-BE49-F238E27FC236}">
              <a16:creationId xmlns:a16="http://schemas.microsoft.com/office/drawing/2014/main" id="{145EB231-4FB8-4E99-9BC1-FAE8CB78E4C6}"/>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0" name="Rectangle: Rounded Corners 89">
          <a:hlinkClick xmlns:r="http://schemas.openxmlformats.org/officeDocument/2006/relationships" r:id="rId1"/>
          <a:extLst>
            <a:ext uri="{FF2B5EF4-FFF2-40B4-BE49-F238E27FC236}">
              <a16:creationId xmlns:a16="http://schemas.microsoft.com/office/drawing/2014/main" id="{7C41E307-B1A3-49D2-9DA1-237C815951B8}"/>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1" name="Rectangle: Rounded Corners 90">
          <a:hlinkClick xmlns:r="http://schemas.openxmlformats.org/officeDocument/2006/relationships" r:id="rId1"/>
          <a:extLst>
            <a:ext uri="{FF2B5EF4-FFF2-40B4-BE49-F238E27FC236}">
              <a16:creationId xmlns:a16="http://schemas.microsoft.com/office/drawing/2014/main" id="{D6A78CCC-26A6-488E-B81E-FB4CCA4A3822}"/>
            </a:ext>
          </a:extLst>
        </xdr:cNvPr>
        <xdr:cNvSpPr/>
      </xdr:nvSpPr>
      <xdr:spPr>
        <a:xfrm>
          <a:off x="34295080" y="63500"/>
          <a:ext cx="1179285" cy="1792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6" name="Rectangle: Rounded Corners 115">
          <a:hlinkClick xmlns:r="http://schemas.openxmlformats.org/officeDocument/2006/relationships" r:id="rId1"/>
          <a:extLst>
            <a:ext uri="{FF2B5EF4-FFF2-40B4-BE49-F238E27FC236}">
              <a16:creationId xmlns:a16="http://schemas.microsoft.com/office/drawing/2014/main" id="{5EF25903-AD44-4376-BB19-351326C917CA}"/>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7" name="Rectangle: Rounded Corners 116">
          <a:hlinkClick xmlns:r="http://schemas.openxmlformats.org/officeDocument/2006/relationships" r:id="rId1"/>
          <a:extLst>
            <a:ext uri="{FF2B5EF4-FFF2-40B4-BE49-F238E27FC236}">
              <a16:creationId xmlns:a16="http://schemas.microsoft.com/office/drawing/2014/main" id="{70120634-3D0C-4014-B5F5-ED1F36CD1D21}"/>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8" name="Rectangle: Rounded Corners 117">
          <a:hlinkClick xmlns:r="http://schemas.openxmlformats.org/officeDocument/2006/relationships" r:id="rId1"/>
          <a:extLst>
            <a:ext uri="{FF2B5EF4-FFF2-40B4-BE49-F238E27FC236}">
              <a16:creationId xmlns:a16="http://schemas.microsoft.com/office/drawing/2014/main" id="{95776DC5-CF30-4236-9CD8-8EE501D5ACBD}"/>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9" name="Rectangle: Rounded Corners 118">
          <a:hlinkClick xmlns:r="http://schemas.openxmlformats.org/officeDocument/2006/relationships" r:id="rId1"/>
          <a:extLst>
            <a:ext uri="{FF2B5EF4-FFF2-40B4-BE49-F238E27FC236}">
              <a16:creationId xmlns:a16="http://schemas.microsoft.com/office/drawing/2014/main" id="{B68BF8BF-85DA-49EA-BC96-94878DC287B9}"/>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0" name="Rectangle: Rounded Corners 119">
          <a:hlinkClick xmlns:r="http://schemas.openxmlformats.org/officeDocument/2006/relationships" r:id="rId1"/>
          <a:extLst>
            <a:ext uri="{FF2B5EF4-FFF2-40B4-BE49-F238E27FC236}">
              <a16:creationId xmlns:a16="http://schemas.microsoft.com/office/drawing/2014/main" id="{3D6C471A-476B-44F1-B45A-BC7CCD98E4A5}"/>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1" name="Rectangle: Rounded Corners 120">
          <a:hlinkClick xmlns:r="http://schemas.openxmlformats.org/officeDocument/2006/relationships" r:id="rId1"/>
          <a:extLst>
            <a:ext uri="{FF2B5EF4-FFF2-40B4-BE49-F238E27FC236}">
              <a16:creationId xmlns:a16="http://schemas.microsoft.com/office/drawing/2014/main" id="{49EA6ED2-BF06-4B7B-8104-A261D9F7A9CC}"/>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2" name="Rectangle: Rounded Corners 121">
          <a:hlinkClick xmlns:r="http://schemas.openxmlformats.org/officeDocument/2006/relationships" r:id="rId1"/>
          <a:extLst>
            <a:ext uri="{FF2B5EF4-FFF2-40B4-BE49-F238E27FC236}">
              <a16:creationId xmlns:a16="http://schemas.microsoft.com/office/drawing/2014/main" id="{BC5444B1-2B15-41BE-9455-6EAB6176562D}"/>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3" name="Rectangle: Rounded Corners 122">
          <a:hlinkClick xmlns:r="http://schemas.openxmlformats.org/officeDocument/2006/relationships" r:id="rId1"/>
          <a:extLst>
            <a:ext uri="{FF2B5EF4-FFF2-40B4-BE49-F238E27FC236}">
              <a16:creationId xmlns:a16="http://schemas.microsoft.com/office/drawing/2014/main" id="{BD15BBFA-32A2-4C4B-8EF1-EF71CD518035}"/>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4" name="Rectangle: Rounded Corners 123">
          <a:hlinkClick xmlns:r="http://schemas.openxmlformats.org/officeDocument/2006/relationships" r:id="rId1"/>
          <a:extLst>
            <a:ext uri="{FF2B5EF4-FFF2-40B4-BE49-F238E27FC236}">
              <a16:creationId xmlns:a16="http://schemas.microsoft.com/office/drawing/2014/main" id="{1343C58B-3AE0-462B-8D09-8B6C427D2C61}"/>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5" name="Rectangle: Rounded Corners 124">
          <a:hlinkClick xmlns:r="http://schemas.openxmlformats.org/officeDocument/2006/relationships" r:id="rId1"/>
          <a:extLst>
            <a:ext uri="{FF2B5EF4-FFF2-40B4-BE49-F238E27FC236}">
              <a16:creationId xmlns:a16="http://schemas.microsoft.com/office/drawing/2014/main" id="{7296FA69-F34E-40D1-8752-B823A7D56273}"/>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6" name="Rectangle: Rounded Corners 125">
          <a:hlinkClick xmlns:r="http://schemas.openxmlformats.org/officeDocument/2006/relationships" r:id="rId1"/>
          <a:extLst>
            <a:ext uri="{FF2B5EF4-FFF2-40B4-BE49-F238E27FC236}">
              <a16:creationId xmlns:a16="http://schemas.microsoft.com/office/drawing/2014/main" id="{F2E43795-86E6-440F-8818-68EF55846E9D}"/>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7" name="Rectangle: Rounded Corners 126">
          <a:hlinkClick xmlns:r="http://schemas.openxmlformats.org/officeDocument/2006/relationships" r:id="rId1"/>
          <a:extLst>
            <a:ext uri="{FF2B5EF4-FFF2-40B4-BE49-F238E27FC236}">
              <a16:creationId xmlns:a16="http://schemas.microsoft.com/office/drawing/2014/main" id="{CF4B409B-B2D8-4232-977A-9BF56355D623}"/>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8" name="Rectangle: Rounded Corners 127">
          <a:hlinkClick xmlns:r="http://schemas.openxmlformats.org/officeDocument/2006/relationships" r:id="rId1"/>
          <a:extLst>
            <a:ext uri="{FF2B5EF4-FFF2-40B4-BE49-F238E27FC236}">
              <a16:creationId xmlns:a16="http://schemas.microsoft.com/office/drawing/2014/main" id="{C03C4C28-8B6E-48F5-B751-E01025FAE303}"/>
            </a:ext>
          </a:extLst>
        </xdr:cNvPr>
        <xdr:cNvSpPr/>
      </xdr:nvSpPr>
      <xdr:spPr>
        <a:xfrm>
          <a:off x="2260028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2" name="Rectangle: Rounded Corners 91">
          <a:hlinkClick xmlns:r="http://schemas.openxmlformats.org/officeDocument/2006/relationships" r:id="rId1"/>
          <a:extLst>
            <a:ext uri="{FF2B5EF4-FFF2-40B4-BE49-F238E27FC236}">
              <a16:creationId xmlns:a16="http://schemas.microsoft.com/office/drawing/2014/main" id="{45DBB48B-F605-4A70-AA64-988ABA9467AF}"/>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3" name="Rectangle: Rounded Corners 92">
          <a:hlinkClick xmlns:r="http://schemas.openxmlformats.org/officeDocument/2006/relationships" r:id="rId1"/>
          <a:extLst>
            <a:ext uri="{FF2B5EF4-FFF2-40B4-BE49-F238E27FC236}">
              <a16:creationId xmlns:a16="http://schemas.microsoft.com/office/drawing/2014/main" id="{15935ADC-82B9-40A7-B093-0BB00775B4D9}"/>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4" name="Rectangle: Rounded Corners 93">
          <a:hlinkClick xmlns:r="http://schemas.openxmlformats.org/officeDocument/2006/relationships" r:id="rId1"/>
          <a:extLst>
            <a:ext uri="{FF2B5EF4-FFF2-40B4-BE49-F238E27FC236}">
              <a16:creationId xmlns:a16="http://schemas.microsoft.com/office/drawing/2014/main" id="{608F360E-4561-40DC-9857-88AC0818E753}"/>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5" name="Rectangle: Rounded Corners 94">
          <a:hlinkClick xmlns:r="http://schemas.openxmlformats.org/officeDocument/2006/relationships" r:id="rId1"/>
          <a:extLst>
            <a:ext uri="{FF2B5EF4-FFF2-40B4-BE49-F238E27FC236}">
              <a16:creationId xmlns:a16="http://schemas.microsoft.com/office/drawing/2014/main" id="{D332C713-F535-4D22-BD79-4C45156AA147}"/>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6" name="Rectangle: Rounded Corners 95">
          <a:hlinkClick xmlns:r="http://schemas.openxmlformats.org/officeDocument/2006/relationships" r:id="rId1"/>
          <a:extLst>
            <a:ext uri="{FF2B5EF4-FFF2-40B4-BE49-F238E27FC236}">
              <a16:creationId xmlns:a16="http://schemas.microsoft.com/office/drawing/2014/main" id="{92DAC87D-8246-456B-97EA-B196257B16CB}"/>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7" name="Rectangle: Rounded Corners 96">
          <a:hlinkClick xmlns:r="http://schemas.openxmlformats.org/officeDocument/2006/relationships" r:id="rId1"/>
          <a:extLst>
            <a:ext uri="{FF2B5EF4-FFF2-40B4-BE49-F238E27FC236}">
              <a16:creationId xmlns:a16="http://schemas.microsoft.com/office/drawing/2014/main" id="{2A744BBC-788E-4458-8134-DDAAF77A3749}"/>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8" name="Rectangle: Rounded Corners 97">
          <a:hlinkClick xmlns:r="http://schemas.openxmlformats.org/officeDocument/2006/relationships" r:id="rId1"/>
          <a:extLst>
            <a:ext uri="{FF2B5EF4-FFF2-40B4-BE49-F238E27FC236}">
              <a16:creationId xmlns:a16="http://schemas.microsoft.com/office/drawing/2014/main" id="{5563D4D2-EBA5-434E-ABFB-0876355FCA28}"/>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99" name="Rectangle: Rounded Corners 98">
          <a:hlinkClick xmlns:r="http://schemas.openxmlformats.org/officeDocument/2006/relationships" r:id="rId1"/>
          <a:extLst>
            <a:ext uri="{FF2B5EF4-FFF2-40B4-BE49-F238E27FC236}">
              <a16:creationId xmlns:a16="http://schemas.microsoft.com/office/drawing/2014/main" id="{C30F9719-244E-4AC8-BDBD-969D79B17ED6}"/>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0" name="Rectangle: Rounded Corners 99">
          <a:hlinkClick xmlns:r="http://schemas.openxmlformats.org/officeDocument/2006/relationships" r:id="rId1"/>
          <a:extLst>
            <a:ext uri="{FF2B5EF4-FFF2-40B4-BE49-F238E27FC236}">
              <a16:creationId xmlns:a16="http://schemas.microsoft.com/office/drawing/2014/main" id="{7B59424B-1705-4836-B0AC-571F0FFD2528}"/>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01" name="Rectangle: Rounded Corners 100">
          <a:hlinkClick xmlns:r="http://schemas.openxmlformats.org/officeDocument/2006/relationships" r:id="rId1"/>
          <a:extLst>
            <a:ext uri="{FF2B5EF4-FFF2-40B4-BE49-F238E27FC236}">
              <a16:creationId xmlns:a16="http://schemas.microsoft.com/office/drawing/2014/main" id="{AA4BC9B9-CCFC-49D2-B80D-0EC707740086}"/>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3" name="Rectangle: Rounded Corners 112">
          <a:hlinkClick xmlns:r="http://schemas.openxmlformats.org/officeDocument/2006/relationships" r:id="rId1"/>
          <a:extLst>
            <a:ext uri="{FF2B5EF4-FFF2-40B4-BE49-F238E27FC236}">
              <a16:creationId xmlns:a16="http://schemas.microsoft.com/office/drawing/2014/main" id="{199A1086-D908-4199-941E-5A8A69F611E3}"/>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4" name="Rectangle: Rounded Corners 113">
          <a:hlinkClick xmlns:r="http://schemas.openxmlformats.org/officeDocument/2006/relationships" r:id="rId1"/>
          <a:extLst>
            <a:ext uri="{FF2B5EF4-FFF2-40B4-BE49-F238E27FC236}">
              <a16:creationId xmlns:a16="http://schemas.microsoft.com/office/drawing/2014/main" id="{46895510-6A7B-40E8-8404-BD9F2E57C3D6}"/>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15" name="Rectangle: Rounded Corners 114">
          <a:hlinkClick xmlns:r="http://schemas.openxmlformats.org/officeDocument/2006/relationships" r:id="rId1"/>
          <a:extLst>
            <a:ext uri="{FF2B5EF4-FFF2-40B4-BE49-F238E27FC236}">
              <a16:creationId xmlns:a16="http://schemas.microsoft.com/office/drawing/2014/main" id="{3D912850-4892-4C3E-9BAD-AC7FAEACD452}"/>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29" name="Rectangle: Rounded Corners 128">
          <a:hlinkClick xmlns:r="http://schemas.openxmlformats.org/officeDocument/2006/relationships" r:id="rId1"/>
          <a:extLst>
            <a:ext uri="{FF2B5EF4-FFF2-40B4-BE49-F238E27FC236}">
              <a16:creationId xmlns:a16="http://schemas.microsoft.com/office/drawing/2014/main" id="{A57B24C6-3A5D-45F6-9491-72E51B52D1B5}"/>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0" name="Rectangle: Rounded Corners 129">
          <a:hlinkClick xmlns:r="http://schemas.openxmlformats.org/officeDocument/2006/relationships" r:id="rId1"/>
          <a:extLst>
            <a:ext uri="{FF2B5EF4-FFF2-40B4-BE49-F238E27FC236}">
              <a16:creationId xmlns:a16="http://schemas.microsoft.com/office/drawing/2014/main" id="{CB3EB33E-48AD-452F-8533-76FDB77BB495}"/>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1" name="Rectangle: Rounded Corners 130">
          <a:hlinkClick xmlns:r="http://schemas.openxmlformats.org/officeDocument/2006/relationships" r:id="rId1"/>
          <a:extLst>
            <a:ext uri="{FF2B5EF4-FFF2-40B4-BE49-F238E27FC236}">
              <a16:creationId xmlns:a16="http://schemas.microsoft.com/office/drawing/2014/main" id="{052AB828-0F03-4D0B-AA86-0B89620D035E}"/>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2" name="Rectangle: Rounded Corners 131">
          <a:hlinkClick xmlns:r="http://schemas.openxmlformats.org/officeDocument/2006/relationships" r:id="rId1"/>
          <a:extLst>
            <a:ext uri="{FF2B5EF4-FFF2-40B4-BE49-F238E27FC236}">
              <a16:creationId xmlns:a16="http://schemas.microsoft.com/office/drawing/2014/main" id="{DF4FA8FD-86E0-4545-9ABD-161C8DE57985}"/>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3" name="Rectangle: Rounded Corners 132">
          <a:hlinkClick xmlns:r="http://schemas.openxmlformats.org/officeDocument/2006/relationships" r:id="rId1"/>
          <a:extLst>
            <a:ext uri="{FF2B5EF4-FFF2-40B4-BE49-F238E27FC236}">
              <a16:creationId xmlns:a16="http://schemas.microsoft.com/office/drawing/2014/main" id="{04AE02A8-C478-4936-A692-3D40C4EBB634}"/>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4" name="Rectangle: Rounded Corners 133">
          <a:hlinkClick xmlns:r="http://schemas.openxmlformats.org/officeDocument/2006/relationships" r:id="rId1"/>
          <a:extLst>
            <a:ext uri="{FF2B5EF4-FFF2-40B4-BE49-F238E27FC236}">
              <a16:creationId xmlns:a16="http://schemas.microsoft.com/office/drawing/2014/main" id="{94224C1A-B4A8-49C7-A099-14BDDFFCB31F}"/>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5" name="Rectangle: Rounded Corners 134">
          <a:hlinkClick xmlns:r="http://schemas.openxmlformats.org/officeDocument/2006/relationships" r:id="rId1"/>
          <a:extLst>
            <a:ext uri="{FF2B5EF4-FFF2-40B4-BE49-F238E27FC236}">
              <a16:creationId xmlns:a16="http://schemas.microsoft.com/office/drawing/2014/main" id="{CA052C6B-1C03-4F7A-945A-BAD50A1DC8FD}"/>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6" name="Rectangle: Rounded Corners 135">
          <a:hlinkClick xmlns:r="http://schemas.openxmlformats.org/officeDocument/2006/relationships" r:id="rId1"/>
          <a:extLst>
            <a:ext uri="{FF2B5EF4-FFF2-40B4-BE49-F238E27FC236}">
              <a16:creationId xmlns:a16="http://schemas.microsoft.com/office/drawing/2014/main" id="{3AF28296-EA4E-4C27-A5DA-B5A55A0489BB}"/>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2759075</xdr:colOff>
      <xdr:row>0</xdr:row>
      <xdr:rowOff>63500</xdr:rowOff>
    </xdr:from>
    <xdr:to>
      <xdr:col>6</xdr:col>
      <xdr:colOff>3941071</xdr:colOff>
      <xdr:row>1</xdr:row>
      <xdr:rowOff>47155</xdr:rowOff>
    </xdr:to>
    <xdr:sp macro="" textlink="">
      <xdr:nvSpPr>
        <xdr:cNvPr id="137" name="Rectangle: Rounded Corners 136">
          <a:hlinkClick xmlns:r="http://schemas.openxmlformats.org/officeDocument/2006/relationships" r:id="rId1"/>
          <a:extLst>
            <a:ext uri="{FF2B5EF4-FFF2-40B4-BE49-F238E27FC236}">
              <a16:creationId xmlns:a16="http://schemas.microsoft.com/office/drawing/2014/main" id="{44613AF3-A117-4600-B0EB-42D9E89DAE38}"/>
            </a:ext>
          </a:extLst>
        </xdr:cNvPr>
        <xdr:cNvSpPr/>
      </xdr:nvSpPr>
      <xdr:spPr>
        <a:xfrm>
          <a:off x="31461710" y="59690"/>
          <a:ext cx="1181996" cy="17034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7</xdr:col>
      <xdr:colOff>2755900</xdr:colOff>
      <xdr:row>0</xdr:row>
      <xdr:rowOff>63500</xdr:rowOff>
    </xdr:from>
    <xdr:to>
      <xdr:col>7</xdr:col>
      <xdr:colOff>3935185</xdr:colOff>
      <xdr:row>1</xdr:row>
      <xdr:rowOff>59872</xdr:rowOff>
    </xdr:to>
    <xdr:sp macro="" textlink="">
      <xdr:nvSpPr>
        <xdr:cNvPr id="138" name="Rectangle: Rounded Corners 137">
          <a:hlinkClick xmlns:r="http://schemas.openxmlformats.org/officeDocument/2006/relationships" r:id="rId1"/>
          <a:extLst>
            <a:ext uri="{FF2B5EF4-FFF2-40B4-BE49-F238E27FC236}">
              <a16:creationId xmlns:a16="http://schemas.microsoft.com/office/drawing/2014/main" id="{80125B2B-4D1D-45A1-8080-F7A373D997C4}"/>
            </a:ext>
          </a:extLst>
        </xdr:cNvPr>
        <xdr:cNvSpPr/>
      </xdr:nvSpPr>
      <xdr:spPr>
        <a:xfrm>
          <a:off x="37173535" y="59690"/>
          <a:ext cx="5805"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39" name="Rectangle: Rounded Corners 138">
          <a:hlinkClick xmlns:r="http://schemas.openxmlformats.org/officeDocument/2006/relationships" r:id="rId1"/>
          <a:extLst>
            <a:ext uri="{FF2B5EF4-FFF2-40B4-BE49-F238E27FC236}">
              <a16:creationId xmlns:a16="http://schemas.microsoft.com/office/drawing/2014/main" id="{AC1D7061-4241-463B-ADE3-48F164A32993}"/>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0" name="Rectangle: Rounded Corners 139">
          <a:hlinkClick xmlns:r="http://schemas.openxmlformats.org/officeDocument/2006/relationships" r:id="rId1"/>
          <a:extLst>
            <a:ext uri="{FF2B5EF4-FFF2-40B4-BE49-F238E27FC236}">
              <a16:creationId xmlns:a16="http://schemas.microsoft.com/office/drawing/2014/main" id="{1B9ECDE4-A57E-4DB2-AB2C-3AB4DF7C5C4F}"/>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1" name="Rectangle: Rounded Corners 140">
          <a:hlinkClick xmlns:r="http://schemas.openxmlformats.org/officeDocument/2006/relationships" r:id="rId1"/>
          <a:extLst>
            <a:ext uri="{FF2B5EF4-FFF2-40B4-BE49-F238E27FC236}">
              <a16:creationId xmlns:a16="http://schemas.microsoft.com/office/drawing/2014/main" id="{6A2484D1-7291-4E4C-BCCB-B93FF0080E12}"/>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2" name="Rectangle: Rounded Corners 141">
          <a:hlinkClick xmlns:r="http://schemas.openxmlformats.org/officeDocument/2006/relationships" r:id="rId1"/>
          <a:extLst>
            <a:ext uri="{FF2B5EF4-FFF2-40B4-BE49-F238E27FC236}">
              <a16:creationId xmlns:a16="http://schemas.microsoft.com/office/drawing/2014/main" id="{1080498F-9657-46D5-A0F8-23DEEDC2C14E}"/>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3" name="Rectangle: Rounded Corners 142">
          <a:hlinkClick xmlns:r="http://schemas.openxmlformats.org/officeDocument/2006/relationships" r:id="rId1"/>
          <a:extLst>
            <a:ext uri="{FF2B5EF4-FFF2-40B4-BE49-F238E27FC236}">
              <a16:creationId xmlns:a16="http://schemas.microsoft.com/office/drawing/2014/main" id="{0CCDE81B-E11F-431F-BD6C-C0EFAF33B602}"/>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4" name="Rectangle: Rounded Corners 143">
          <a:hlinkClick xmlns:r="http://schemas.openxmlformats.org/officeDocument/2006/relationships" r:id="rId1"/>
          <a:extLst>
            <a:ext uri="{FF2B5EF4-FFF2-40B4-BE49-F238E27FC236}">
              <a16:creationId xmlns:a16="http://schemas.microsoft.com/office/drawing/2014/main" id="{CB284309-6D15-4021-8C4E-7F60D044DED7}"/>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5" name="Rectangle: Rounded Corners 144">
          <a:hlinkClick xmlns:r="http://schemas.openxmlformats.org/officeDocument/2006/relationships" r:id="rId1"/>
          <a:extLst>
            <a:ext uri="{FF2B5EF4-FFF2-40B4-BE49-F238E27FC236}">
              <a16:creationId xmlns:a16="http://schemas.microsoft.com/office/drawing/2014/main" id="{26F2A08D-B172-4297-B9B5-5675EB653B00}"/>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6" name="Rectangle: Rounded Corners 145">
          <a:hlinkClick xmlns:r="http://schemas.openxmlformats.org/officeDocument/2006/relationships" r:id="rId1"/>
          <a:extLst>
            <a:ext uri="{FF2B5EF4-FFF2-40B4-BE49-F238E27FC236}">
              <a16:creationId xmlns:a16="http://schemas.microsoft.com/office/drawing/2014/main" id="{FA92F713-1C4B-4048-947A-EDB485F26890}"/>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7" name="Rectangle: Rounded Corners 146">
          <a:hlinkClick xmlns:r="http://schemas.openxmlformats.org/officeDocument/2006/relationships" r:id="rId1"/>
          <a:extLst>
            <a:ext uri="{FF2B5EF4-FFF2-40B4-BE49-F238E27FC236}">
              <a16:creationId xmlns:a16="http://schemas.microsoft.com/office/drawing/2014/main" id="{6756F35A-9DAE-45A7-BB0C-5587F09BAC16}"/>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twoCellAnchor>
    <xdr:from>
      <xdr:col>6</xdr:col>
      <xdr:colOff>2755900</xdr:colOff>
      <xdr:row>0</xdr:row>
      <xdr:rowOff>63500</xdr:rowOff>
    </xdr:from>
    <xdr:to>
      <xdr:col>6</xdr:col>
      <xdr:colOff>3935185</xdr:colOff>
      <xdr:row>1</xdr:row>
      <xdr:rowOff>59872</xdr:rowOff>
    </xdr:to>
    <xdr:sp macro="" textlink="">
      <xdr:nvSpPr>
        <xdr:cNvPr id="148" name="Rectangle: Rounded Corners 147">
          <a:hlinkClick xmlns:r="http://schemas.openxmlformats.org/officeDocument/2006/relationships" r:id="rId1"/>
          <a:extLst>
            <a:ext uri="{FF2B5EF4-FFF2-40B4-BE49-F238E27FC236}">
              <a16:creationId xmlns:a16="http://schemas.microsoft.com/office/drawing/2014/main" id="{A43F5C89-FD0D-4F1A-B462-F98E3461EF4D}"/>
            </a:ext>
          </a:extLst>
        </xdr:cNvPr>
        <xdr:cNvSpPr/>
      </xdr:nvSpPr>
      <xdr:spPr>
        <a:xfrm>
          <a:off x="31458535" y="59690"/>
          <a:ext cx="1177380" cy="1773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Index</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796287</xdr:colOff>
      <xdr:row>21</xdr:row>
      <xdr:rowOff>348616</xdr:rowOff>
    </xdr:from>
    <xdr:to>
      <xdr:col>6</xdr:col>
      <xdr:colOff>800099</xdr:colOff>
      <xdr:row>32</xdr:row>
      <xdr:rowOff>38100</xdr:rowOff>
    </xdr:to>
    <xdr:graphicFrame macro="">
      <xdr:nvGraphicFramePr>
        <xdr:cNvPr id="3" name="Chart 2">
          <a:extLst>
            <a:ext uri="{FF2B5EF4-FFF2-40B4-BE49-F238E27FC236}">
              <a16:creationId xmlns:a16="http://schemas.microsoft.com/office/drawing/2014/main" id="{4572625E-AC62-43C1-BA35-DBE216F6AC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91440</xdr:colOff>
      <xdr:row>0</xdr:row>
      <xdr:rowOff>144780</xdr:rowOff>
    </xdr:from>
    <xdr:to>
      <xdr:col>2</xdr:col>
      <xdr:colOff>974000</xdr:colOff>
      <xdr:row>2</xdr:row>
      <xdr:rowOff>361006</xdr:rowOff>
    </xdr:to>
    <xdr:pic>
      <xdr:nvPicPr>
        <xdr:cNvPr id="5" name="Picture 4">
          <a:extLst>
            <a:ext uri="{FF2B5EF4-FFF2-40B4-BE49-F238E27FC236}">
              <a16:creationId xmlns:a16="http://schemas.microsoft.com/office/drawing/2014/main" id="{4F6D969C-E066-422E-9A64-A0366C8D881D}"/>
            </a:ext>
          </a:extLst>
        </xdr:cNvPr>
        <xdr:cNvPicPr>
          <a:picLocks noChangeAspect="1"/>
        </xdr:cNvPicPr>
      </xdr:nvPicPr>
      <xdr:blipFill>
        <a:blip xmlns:r="http://schemas.openxmlformats.org/officeDocument/2006/relationships" r:embed="rId2"/>
        <a:stretch>
          <a:fillRect/>
        </a:stretch>
      </xdr:blipFill>
      <xdr:spPr>
        <a:xfrm>
          <a:off x="91440" y="144780"/>
          <a:ext cx="1709330" cy="5705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136615</xdr:colOff>
      <xdr:row>1</xdr:row>
      <xdr:rowOff>8027</xdr:rowOff>
    </xdr:from>
    <xdr:to>
      <xdr:col>2</xdr:col>
      <xdr:colOff>1313286</xdr:colOff>
      <xdr:row>3</xdr:row>
      <xdr:rowOff>133550</xdr:rowOff>
    </xdr:to>
    <xdr:pic>
      <xdr:nvPicPr>
        <xdr:cNvPr id="2" name="Picture 1">
          <a:extLst>
            <a:ext uri="{FF2B5EF4-FFF2-40B4-BE49-F238E27FC236}">
              <a16:creationId xmlns:a16="http://schemas.microsoft.com/office/drawing/2014/main" id="{EB6F1CB2-F423-4659-ACBA-CE3FE838AF71}"/>
            </a:ext>
          </a:extLst>
        </xdr:cNvPr>
        <xdr:cNvPicPr>
          <a:picLocks noChangeAspect="1"/>
        </xdr:cNvPicPr>
      </xdr:nvPicPr>
      <xdr:blipFill>
        <a:blip xmlns:r="http://schemas.openxmlformats.org/officeDocument/2006/relationships" r:embed="rId1"/>
        <a:stretch>
          <a:fillRect/>
        </a:stretch>
      </xdr:blipFill>
      <xdr:spPr>
        <a:xfrm>
          <a:off x="28030" y="181382"/>
          <a:ext cx="2132981" cy="714168"/>
        </a:xfrm>
        <a:prstGeom prst="rect">
          <a:avLst/>
        </a:prstGeom>
      </xdr:spPr>
    </xdr:pic>
    <xdr:clientData/>
  </xdr:twoCellAnchor>
  <xdr:twoCellAnchor>
    <xdr:from>
      <xdr:col>10</xdr:col>
      <xdr:colOff>256223</xdr:colOff>
      <xdr:row>9</xdr:row>
      <xdr:rowOff>208119</xdr:rowOff>
    </xdr:from>
    <xdr:to>
      <xdr:col>19</xdr:col>
      <xdr:colOff>662939</xdr:colOff>
      <xdr:row>14</xdr:row>
      <xdr:rowOff>793907</xdr:rowOff>
    </xdr:to>
    <xdr:graphicFrame macro="">
      <xdr:nvGraphicFramePr>
        <xdr:cNvPr id="4" name="Chart 3">
          <a:extLst>
            <a:ext uri="{FF2B5EF4-FFF2-40B4-BE49-F238E27FC236}">
              <a16:creationId xmlns:a16="http://schemas.microsoft.com/office/drawing/2014/main" id="{DEE45672-6FD5-4998-B9EB-B39179EE7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132805</xdr:colOff>
      <xdr:row>1</xdr:row>
      <xdr:rowOff>3266</xdr:rowOff>
    </xdr:from>
    <xdr:to>
      <xdr:col>2</xdr:col>
      <xdr:colOff>1278255</xdr:colOff>
      <xdr:row>2</xdr:row>
      <xdr:rowOff>398562</xdr:rowOff>
    </xdr:to>
    <xdr:pic>
      <xdr:nvPicPr>
        <xdr:cNvPr id="2" name="Picture 1">
          <a:extLst>
            <a:ext uri="{FF2B5EF4-FFF2-40B4-BE49-F238E27FC236}">
              <a16:creationId xmlns:a16="http://schemas.microsoft.com/office/drawing/2014/main" id="{2980D827-241F-454F-8F61-538EE4C4C4AD}"/>
            </a:ext>
          </a:extLst>
        </xdr:cNvPr>
        <xdr:cNvPicPr>
          <a:picLocks noChangeAspect="1"/>
        </xdr:cNvPicPr>
      </xdr:nvPicPr>
      <xdr:blipFill>
        <a:blip xmlns:r="http://schemas.openxmlformats.org/officeDocument/2006/relationships" r:embed="rId1"/>
        <a:stretch>
          <a:fillRect/>
        </a:stretch>
      </xdr:blipFill>
      <xdr:spPr>
        <a:xfrm>
          <a:off x="136615" y="174716"/>
          <a:ext cx="1709330" cy="5705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132805</xdr:colOff>
      <xdr:row>1</xdr:row>
      <xdr:rowOff>3266</xdr:rowOff>
    </xdr:from>
    <xdr:to>
      <xdr:col>2</xdr:col>
      <xdr:colOff>1274445</xdr:colOff>
      <xdr:row>2</xdr:row>
      <xdr:rowOff>402372</xdr:rowOff>
    </xdr:to>
    <xdr:pic>
      <xdr:nvPicPr>
        <xdr:cNvPr id="2" name="Picture 1">
          <a:extLst>
            <a:ext uri="{FF2B5EF4-FFF2-40B4-BE49-F238E27FC236}">
              <a16:creationId xmlns:a16="http://schemas.microsoft.com/office/drawing/2014/main" id="{02AA79DE-0B6B-4BC9-83A8-0D9F083D9918}"/>
            </a:ext>
          </a:extLst>
        </xdr:cNvPr>
        <xdr:cNvPicPr>
          <a:picLocks noChangeAspect="1"/>
        </xdr:cNvPicPr>
      </xdr:nvPicPr>
      <xdr:blipFill>
        <a:blip xmlns:r="http://schemas.openxmlformats.org/officeDocument/2006/relationships" r:embed="rId1"/>
        <a:stretch>
          <a:fillRect/>
        </a:stretch>
      </xdr:blipFill>
      <xdr:spPr>
        <a:xfrm>
          <a:off x="132805" y="174716"/>
          <a:ext cx="1705520" cy="5629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132805</xdr:colOff>
      <xdr:row>1</xdr:row>
      <xdr:rowOff>3266</xdr:rowOff>
    </xdr:from>
    <xdr:to>
      <xdr:col>2</xdr:col>
      <xdr:colOff>1274445</xdr:colOff>
      <xdr:row>2</xdr:row>
      <xdr:rowOff>402372</xdr:rowOff>
    </xdr:to>
    <xdr:pic>
      <xdr:nvPicPr>
        <xdr:cNvPr id="2" name="Picture 1">
          <a:extLst>
            <a:ext uri="{FF2B5EF4-FFF2-40B4-BE49-F238E27FC236}">
              <a16:creationId xmlns:a16="http://schemas.microsoft.com/office/drawing/2014/main" id="{DC11F4DA-22AC-4C6A-A3CE-9CA379B5D113}"/>
            </a:ext>
          </a:extLst>
        </xdr:cNvPr>
        <xdr:cNvPicPr>
          <a:picLocks noChangeAspect="1"/>
        </xdr:cNvPicPr>
      </xdr:nvPicPr>
      <xdr:blipFill>
        <a:blip xmlns:r="http://schemas.openxmlformats.org/officeDocument/2006/relationships" r:embed="rId1"/>
        <a:stretch>
          <a:fillRect/>
        </a:stretch>
      </xdr:blipFill>
      <xdr:spPr>
        <a:xfrm>
          <a:off x="136615" y="174716"/>
          <a:ext cx="1713140" cy="56674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132805</xdr:colOff>
      <xdr:row>1</xdr:row>
      <xdr:rowOff>3266</xdr:rowOff>
    </xdr:from>
    <xdr:to>
      <xdr:col>2</xdr:col>
      <xdr:colOff>1274445</xdr:colOff>
      <xdr:row>2</xdr:row>
      <xdr:rowOff>402372</xdr:rowOff>
    </xdr:to>
    <xdr:pic>
      <xdr:nvPicPr>
        <xdr:cNvPr id="2" name="Picture 1">
          <a:extLst>
            <a:ext uri="{FF2B5EF4-FFF2-40B4-BE49-F238E27FC236}">
              <a16:creationId xmlns:a16="http://schemas.microsoft.com/office/drawing/2014/main" id="{697DB756-BAC8-45A1-97D6-3779A0425710}"/>
            </a:ext>
          </a:extLst>
        </xdr:cNvPr>
        <xdr:cNvPicPr>
          <a:picLocks noChangeAspect="1"/>
        </xdr:cNvPicPr>
      </xdr:nvPicPr>
      <xdr:blipFill>
        <a:blip xmlns:r="http://schemas.openxmlformats.org/officeDocument/2006/relationships" r:embed="rId1"/>
        <a:stretch>
          <a:fillRect/>
        </a:stretch>
      </xdr:blipFill>
      <xdr:spPr>
        <a:xfrm>
          <a:off x="136615" y="174716"/>
          <a:ext cx="1709330" cy="5705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ntracts\Cost%20and%20Pricing\Final%20Budgets\Global%20Fund\Mali\2014.05%20NFM%20Submission\GF%20Mali%20Phase%201%20&amp;%202%20NFM%20internal%20hybrid_2014.07.1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gf\afaye\Desktop\Desktop%20Files%2017042012\SLE%20Summary%20Budget%20Phase%20%202%20Malaria_2701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f\afaye\Desktop\Desktop%20Files%2017042012\SLE%20Summary%20Budget%20Phase%20%202%20Malaria_27011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adas\AppData\Local\Microsoft\Windows\Temporary%20Internet%20Files\Content.Outlook\0O09I2GP\Master%20data%20in%20Perf%20Fwk%20Budget%20PSM%20(except%20PSM%20specific)%202015-06-03%2017h.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aabouatme\AppData\Local\Microsoft\Windows\Temporary%20Internet%20Files\Content.IE5\W0OJ3YPY\Core_PUDR_Form_e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chenneuse\AppData\Local\Microsoft\Windows\Temporary%20Internet%20Files\Content.Outlook\LX8CLMNA\Malaria_Financial%20Reporting%20Template_Jun1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chenneuse\AppData\Local\Microsoft\Windows\Temporary%20Internet%20Files\Content.Outlook\LX8CLMNA\TB_Financial%20Reporting%20Template_Jun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yson\AppData\Local\Temp\20172018%20GOU%20BUDGETS\CCM%20BUDGET2016-2017-%20CONSOLIDATED%201109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f\afaye\Desktop\MALI_Global%20Fund%20Budget%20Template%202014-07-11-revised%20by%20PS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theglobalfund.org/media/6046/core_pudr_form_en.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f\afaye\Desktop\MALI_Global%20Fund%20Budget%20Template%202014-07-11-revised%20by%20PSI.xlsx"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https://tgf.sharepoint.com/sites/TSGMT4/CCMB/CCMFunding/Integrated_Performance_CCMs/For_Officers_DocumentRepository/2022_2023_IPF_Examples_FirstRoll-out/PF_TESTING/Archive/IntegratedPerformance/SOUTHSUDAN_FINAL_CCMEvolutionThresholdTool_220921.xlsx?3F9A1012" TargetMode="External"/><Relationship Id="rId1" Type="http://schemas.openxmlformats.org/officeDocument/2006/relationships/externalLinkPath" Target="file:///\\3F9A1012\SOUTHSUDAN_FINAL_CCMEvolutionThresholdTool_2209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gf\DKapodistria\Desktop\PUDR%20template%20v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f\DKapodistria\Desktop\PUDR%20template%20v2.xls" TargetMode="External"/></Relationships>
</file>

<file path=xl/externalLinks/_rels/externalLink9.xml.rels><?xml version="1.0" encoding="UTF-8" standalone="yes"?>
<Relationships xmlns="http://schemas.openxmlformats.org/package/2006/relationships"><Relationship Id="rId2" Type="http://schemas.microsoft.com/office/2019/04/relationships/externalLinkLongPath" Target="https://tgf.sharepoint.com/sites/TSGMT4/CCMB/CCMFunding/Integrated_Performance_CCMs/For_Officers_DocumentRepository/2022_2023_IPF_Examples_FirstRoll-out/PF_TESTING/Archive/DEMO_FILLED_PF_EvolutionTransition_2022.06.14.xlsx?8856ADE3" TargetMode="External"/><Relationship Id="rId1" Type="http://schemas.openxmlformats.org/officeDocument/2006/relationships/externalLinkPath" Target="file:///\\8856ADE3\DEMO_FILLED_PF_EvolutionTransition_2022.06.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ange Page Information"/>
      <sheetName val="GF-Definitions"/>
      <sheetName val="GF-Instructions"/>
      <sheetName val="Interventions"/>
      <sheetName val="CostInputs"/>
      <sheetName val="CostGroupings"/>
      <sheetName val="Range Page"/>
      <sheetName val="GF-Cover"/>
      <sheetName val="GF-Recipients"/>
      <sheetName val="GF Objectives"/>
      <sheetName val="GF-Assumptions"/>
      <sheetName val="Assumptions-HR"/>
      <sheetName val="Detailed Assumptions"/>
      <sheetName val="Assumptions-Standard Unit Rate"/>
      <sheetName val="OLD Detailed Assumptions"/>
      <sheetName val="Sum of Old Detailed"/>
      <sheetName val="GF Module Interventions"/>
      <sheetName val="GF-Detailed Budget"/>
      <sheetName val="GF-Incremental"/>
      <sheetName val="GF-Summary Budget"/>
      <sheetName val="Summary Cost Inputs"/>
      <sheetName val="Setup"/>
      <sheetName val="NFM Detailed Budget"/>
      <sheetName val="NFM Budget Summary"/>
      <sheetName val="NFM QTR Summary"/>
      <sheetName val="PSI Summary by Year"/>
      <sheetName val="PSI Summary by Intervention"/>
      <sheetName val="ICR Summary"/>
      <sheetName val="PSI Int Detailed Roll-up"/>
      <sheetName val="START PSI---&gt;"/>
      <sheetName val="PSI Int A - routine"/>
      <sheetName val="PSI Int B - mass"/>
      <sheetName val="PSI Int C"/>
      <sheetName val="PSI Int D"/>
      <sheetName val="PSI Int E"/>
      <sheetName val="PSI Int F"/>
      <sheetName val="PSI Int G"/>
      <sheetName val="PSI Int H"/>
      <sheetName val="PSI Int I"/>
      <sheetName val="PSI Int J"/>
      <sheetName val="PSI Int K"/>
      <sheetName val="PSI Int L"/>
      <sheetName val="PSI Int M"/>
      <sheetName val="PSI Int N"/>
      <sheetName val="PSI Int O"/>
      <sheetName val="PSI Int P"/>
      <sheetName val="PSI Int Q"/>
      <sheetName val="PSI Int R"/>
      <sheetName val="---&gt;END PSI"/>
      <sheetName val="LISTS"/>
      <sheetName val="Sheet5"/>
      <sheetName val="Data"/>
      <sheetName val="Workplan Lists"/>
      <sheetName val="Stage 2 - Parameters"/>
      <sheetName val="HY DETAIL. UNIT COST YEAR 3,4,5"/>
      <sheetName val="Range_Page_Information"/>
      <sheetName val="Range_Page"/>
      <sheetName val="GF_Objectives"/>
      <sheetName val="Detailed_Assumptions"/>
      <sheetName val="Assumptions-Standard_Unit_Rate"/>
      <sheetName val="OLD_Detailed_Assumptions"/>
      <sheetName val="Sum_of_Old_Detailed"/>
      <sheetName val="GF_Module_Interventions"/>
      <sheetName val="GF-Detailed_Budget"/>
      <sheetName val="GF-Summary_Budget"/>
      <sheetName val="Summary_Cost_Inputs"/>
      <sheetName val="NFM_Detailed_Budget"/>
      <sheetName val="NFM_Budget_Summary"/>
      <sheetName val="NFM_QTR_Summary"/>
      <sheetName val="PSI_Summary_by_Year"/>
      <sheetName val="PSI_Summary_by_Intervention"/>
      <sheetName val="ICR_Summary"/>
      <sheetName val="PSI_Int_Detailed_Roll-up"/>
      <sheetName val="START_PSI---&gt;"/>
      <sheetName val="PSI_Int_A_-_routine"/>
      <sheetName val="PSI_Int_B_-_mass"/>
      <sheetName val="PSI_Int_C"/>
      <sheetName val="PSI_Int_D"/>
      <sheetName val="PSI_Int_E"/>
      <sheetName val="PSI_Int_F"/>
      <sheetName val="PSI_Int_G"/>
      <sheetName val="PSI_Int_H"/>
      <sheetName val="PSI_Int_I"/>
      <sheetName val="PSI_Int_J"/>
      <sheetName val="PSI_Int_K"/>
      <sheetName val="PSI_Int_L"/>
      <sheetName val="PSI_Int_M"/>
      <sheetName val="PSI_Int_N"/>
      <sheetName val="PSI_Int_O"/>
      <sheetName val="PSI_Int_P"/>
      <sheetName val="PSI_Int_Q"/>
      <sheetName val="PSI_Int_R"/>
      <sheetName val="---&gt;END_PSI"/>
      <sheetName val="Workplan_lists"/>
      <sheetName val="Stage_2_-_Parameters"/>
      <sheetName val="Sheet3"/>
      <sheetName val="Range_Page_Information1"/>
      <sheetName val="Range_Page1"/>
      <sheetName val="GF_Objectives1"/>
      <sheetName val="Detailed_Assumptions1"/>
      <sheetName val="Assumptions-Standard_Unit_Rate1"/>
      <sheetName val="OLD_Detailed_Assumptions1"/>
      <sheetName val="Sum_of_Old_Detailed1"/>
      <sheetName val="GF_Module_Interventions1"/>
      <sheetName val="GF-Detailed_Budget1"/>
      <sheetName val="GF-Summary_Budget1"/>
      <sheetName val="Summary_Cost_Inputs1"/>
      <sheetName val="NFM_Detailed_Budget1"/>
      <sheetName val="NFM_Budget_Summary1"/>
      <sheetName val="NFM_QTR_Summary1"/>
      <sheetName val="PSI_Summary_by_Year1"/>
      <sheetName val="PSI_Summary_by_Intervention1"/>
      <sheetName val="ICR_Summary1"/>
      <sheetName val="PSI_Int_Detailed_Roll-up1"/>
      <sheetName val="START_PSI---&gt;1"/>
      <sheetName val="PSI_Int_A_-_routine1"/>
      <sheetName val="PSI_Int_B_-_mass1"/>
      <sheetName val="PSI_Int_C1"/>
      <sheetName val="PSI_Int_D1"/>
      <sheetName val="PSI_Int_E1"/>
      <sheetName val="PSI_Int_F1"/>
      <sheetName val="PSI_Int_G1"/>
      <sheetName val="PSI_Int_H1"/>
      <sheetName val="PSI_Int_I1"/>
      <sheetName val="PSI_Int_J1"/>
      <sheetName val="PSI_Int_K1"/>
      <sheetName val="PSI_Int_L1"/>
      <sheetName val="PSI_Int_M1"/>
      <sheetName val="PSI_Int_N1"/>
      <sheetName val="PSI_Int_O1"/>
      <sheetName val="PSI_Int_P1"/>
      <sheetName val="PSI_Int_Q1"/>
      <sheetName val="PSI_Int_R1"/>
      <sheetName val="---&gt;END_PSI1"/>
      <sheetName val="Range_Page_Information2"/>
      <sheetName val="Range_Page2"/>
      <sheetName val="GF_Objectives2"/>
      <sheetName val="Detailed_Assumptions2"/>
      <sheetName val="Assumptions-Standard_Unit_Rate2"/>
      <sheetName val="OLD_Detailed_Assumptions2"/>
      <sheetName val="Sum_of_Old_Detailed2"/>
      <sheetName val="GF_Module_Interventions2"/>
      <sheetName val="GF-Detailed_Budget2"/>
      <sheetName val="GF-Summary_Budget2"/>
      <sheetName val="Summary_Cost_Inputs2"/>
      <sheetName val="NFM_Detailed_Budget2"/>
      <sheetName val="NFM_Budget_Summary2"/>
      <sheetName val="NFM_QTR_Summary2"/>
      <sheetName val="PSI_Summary_by_Year2"/>
      <sheetName val="PSI_Summary_by_Intervention2"/>
      <sheetName val="ICR_Summary2"/>
      <sheetName val="PSI_Int_Detailed_Roll-up2"/>
      <sheetName val="START_PSI---&gt;2"/>
      <sheetName val="PSI_Int_A_-_routine2"/>
      <sheetName val="PSI_Int_B_-_mass2"/>
      <sheetName val="PSI_Int_C2"/>
      <sheetName val="PSI_Int_D2"/>
      <sheetName val="PSI_Int_E2"/>
      <sheetName val="PSI_Int_F2"/>
      <sheetName val="PSI_Int_G2"/>
      <sheetName val="PSI_Int_H2"/>
      <sheetName val="PSI_Int_I2"/>
      <sheetName val="PSI_Int_J2"/>
      <sheetName val="PSI_Int_K2"/>
      <sheetName val="PSI_Int_L2"/>
      <sheetName val="PSI_Int_M2"/>
      <sheetName val="PSI_Int_N2"/>
      <sheetName val="PSI_Int_O2"/>
      <sheetName val="PSI_Int_P2"/>
      <sheetName val="PSI_Int_Q2"/>
      <sheetName val="PSI_Int_R2"/>
      <sheetName val="---&gt;END_PSI2"/>
      <sheetName val="FORMULAGRAPHS"/>
      <sheetName val="Progress_Results"/>
      <sheetName val="Coverage Indicators_1B"/>
      <sheetName val="Coverage Indicators"/>
      <sheetName val="PM  R8 Y3"/>
      <sheetName val="1. PR R8 Y3"/>
      <sheetName val="SR &amp; SSR R8 Y3"/>
      <sheetName val="_kab2"/>
      <sheetName val="LIST VALIDASI"/>
      <sheetName val="Board approved (del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v>0.71799999999999997</v>
          </cell>
        </row>
        <row r="38">
          <cell r="A38">
            <v>7.0000000000000007E-2</v>
          </cell>
        </row>
        <row r="39">
          <cell r="A39">
            <v>0.03</v>
          </cell>
        </row>
        <row r="47">
          <cell r="A47">
            <v>0.77148300000000003</v>
          </cell>
        </row>
        <row r="48">
          <cell r="A48">
            <v>655.95699999999999</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ow r="2">
          <cell r="A2">
            <v>0.71799999999999997</v>
          </cell>
        </row>
      </sheetData>
      <sheetData sheetId="57">
        <row r="2">
          <cell r="A2">
            <v>0.71799999999999997</v>
          </cell>
        </row>
      </sheetData>
      <sheetData sheetId="58">
        <row r="2">
          <cell r="A2">
            <v>0.71799999999999997</v>
          </cell>
        </row>
      </sheetData>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efreshError="1"/>
      <sheetData sheetId="97"/>
      <sheetData sheetId="98">
        <row r="38">
          <cell r="A38">
            <v>7.0000000000000007E-2</v>
          </cell>
        </row>
      </sheetData>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ons"/>
      <sheetName val="Budget summary GF"/>
      <sheetName val="CoverageDisaggregationData"/>
      <sheetName val="Data"/>
      <sheetName val="Indicateurs Couverture_1B"/>
      <sheetName val="EFR Data"/>
      <sheetName val="Indicateurs Impact Effet_1A"/>
      <sheetName val="ImpactOutcomeDisaggData"/>
      <sheetName val="Intervention By Modules"/>
      <sheetName val="DROP DOW MENU"/>
      <sheetName val="NEW-PANEL"/>
      <sheetName val="DataSrcInCmp"/>
      <sheetName val="Translations"/>
      <sheetName val="Budget_summary_GF"/>
      <sheetName val="Budget_summary_GF3"/>
      <sheetName val="Budget_summary_GF1"/>
      <sheetName val="Budget_summary_GF2"/>
      <sheetName val="Input"/>
      <sheetName val="Fuel Aug 13"/>
      <sheetName val="Budget_summary_GF4"/>
      <sheetName val="Indicateurs_Couverture_1B"/>
      <sheetName val="EFR_Data"/>
      <sheetName val="Indicateurs_Impact_Effet_1A"/>
      <sheetName val="Intervention_By_Modules"/>
      <sheetName val="DROP_DOW_MENU"/>
      <sheetName val="05-Chart of Account"/>
      <sheetName val="Budget_summary_GF6"/>
      <sheetName val="Indicateurs_Couverture_1B2"/>
      <sheetName val="EFR_Data2"/>
      <sheetName val="Indicateurs_Impact_Effet_1A2"/>
      <sheetName val="Intervention_By_Modules2"/>
      <sheetName val="DROP_DOW_MENU2"/>
      <sheetName val="Budget_summary_GF5"/>
      <sheetName val="Indicateurs_Couverture_1B1"/>
      <sheetName val="EFR_Data1"/>
      <sheetName val="Indicateurs_Impact_Effet_1A1"/>
      <sheetName val="Intervention_By_Modules1"/>
      <sheetName val="DROP_DOW_MENU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refreshError="1"/>
      <sheetData sheetId="18" refreshError="1"/>
      <sheetData sheetId="19"/>
      <sheetData sheetId="20"/>
      <sheetData sheetId="21"/>
      <sheetData sheetId="22"/>
      <sheetData sheetId="23"/>
      <sheetData sheetId="24"/>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summary GF"/>
      <sheetName val="Definitions"/>
      <sheetName val="CoverageDisaggregationData"/>
      <sheetName val="Data"/>
      <sheetName val="Indicateurs Couverture_1B"/>
      <sheetName val="EFR Data"/>
      <sheetName val="Indicateurs Impact Effet_1A"/>
      <sheetName val="ImpactOutcomeDisaggData"/>
      <sheetName val="Intervention By Modules"/>
      <sheetName val="DROP DOW MENU"/>
      <sheetName val="NEW-PANEL"/>
      <sheetName val="DataSrcInCmp"/>
      <sheetName val="Translations"/>
      <sheetName val="Budget_summary_GF"/>
      <sheetName val="Budget_summary_GF3"/>
      <sheetName val="Budget_summary_GF1"/>
      <sheetName val="Budget_summary_GF2"/>
      <sheetName val="Input"/>
      <sheetName val="Fuel Aug 13"/>
      <sheetName val="Indicateurs_Couverture_1B"/>
      <sheetName val="EFR_Data"/>
      <sheetName val="Indicateurs_Impact_Effet_1A"/>
      <sheetName val="Intervention_By_Modules"/>
      <sheetName val="DROP_DOW_MENU"/>
      <sheetName val="Budget_summary_GF4"/>
      <sheetName val="05-Chart of Account"/>
      <sheetName val="Budget_summary_GF6"/>
      <sheetName val="Indicateurs_Couverture_1B2"/>
      <sheetName val="EFR_Data2"/>
      <sheetName val="Indicateurs_Impact_Effet_1A2"/>
      <sheetName val="Intervention_By_Modules2"/>
      <sheetName val="DROP_DOW_MENU2"/>
      <sheetName val="Budget_summary_GF5"/>
      <sheetName val="Indicateurs_Couverture_1B1"/>
      <sheetName val="EFR_Data1"/>
      <sheetName val="Indicateurs_Impact_Effet_1A1"/>
      <sheetName val="Intervention_By_Modules1"/>
      <sheetName val="DROP_DOW_MENU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refreshError="1"/>
      <sheetData sheetId="18" refreshError="1"/>
      <sheetData sheetId="19"/>
      <sheetData sheetId="20"/>
      <sheetData sheetId="21"/>
      <sheetData sheetId="22"/>
      <sheetData sheetId="23"/>
      <sheetData sheetId="24"/>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 log"/>
      <sheetName val="CatFiscalCycle"/>
      <sheetName val="CatTerritory"/>
      <sheetName val="CatRecipient"/>
      <sheetName val="IndDisaggrGrpInImpact"/>
      <sheetName val="IndDisaggrGrpInOutcome"/>
      <sheetName val="IndDisaggrGrpInCov"/>
      <sheetName val="CovAggrDataTypeInCov"/>
      <sheetName val="ModInCmp"/>
      <sheetName val="ImpactInCmp"/>
      <sheetName val="OutcomeInCmp"/>
      <sheetName val="DataSrcInCmp"/>
      <sheetName val="CatCmp"/>
      <sheetName val="CatModules"/>
      <sheetName val="CatInt"/>
      <sheetName val="CatImpact"/>
      <sheetName val="CatOutcome"/>
      <sheetName val="CatCoverage"/>
      <sheetName val="CatDataSrc"/>
      <sheetName val="CatIndDisaggrGrp"/>
      <sheetName val="CatIndDisaggrGrpValues"/>
      <sheetName val="CatCovAggrDataType"/>
      <sheetName val="CatCovGeoArea"/>
      <sheetName val="CatWPTM-Score"/>
      <sheetName val="CoverageDisaggregationData"/>
      <sheetName val="Data"/>
      <sheetName val="Indicateurs Couverture_1B"/>
      <sheetName val="Intervention By Modules"/>
      <sheetName val="EFR Data"/>
      <sheetName val="Indicateurs Impact Effet_1A"/>
      <sheetName val="ImpactOutcomeDisaggData"/>
      <sheetName val="Coverage Indicators"/>
      <sheetName val="LFA_ImpactOutcome Indicators_1A"/>
      <sheetName val="Definitions-lists-EFR"/>
      <sheetName val="Memo Malaria"/>
      <sheetName val="PR_Programmatic Progress_1A"/>
      <sheetName val="PR_Total PR Cash Outflow_3A"/>
      <sheetName val="Definitions"/>
      <sheetName val="Chg_log"/>
      <sheetName val="Indicateurs_Couverture_1B"/>
      <sheetName val="Intervention_By_Modules"/>
      <sheetName val="EFR_Data"/>
      <sheetName val="Indicateurs_Impact_Effet_1A"/>
      <sheetName val="Coverage_Indicators"/>
      <sheetName val="LFA_ImpactOutcome_Indicators_1A"/>
      <sheetName val="Memo_Malaria"/>
      <sheetName val="PR_Programmatic_Progress_1A"/>
      <sheetName val="PR_Total_PR_Cash_Outflow_3A"/>
      <sheetName val="05-Chart of Account"/>
    </sheetNames>
    <sheetDataSet>
      <sheetData sheetId="0">
        <row r="1">
          <cell r="D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1">
          <cell r="D1">
            <v>0</v>
          </cell>
        </row>
      </sheetData>
      <sheetData sheetId="39"/>
      <sheetData sheetId="40"/>
      <sheetData sheetId="41"/>
      <sheetData sheetId="42"/>
      <sheetData sheetId="43"/>
      <sheetData sheetId="44"/>
      <sheetData sheetId="45"/>
      <sheetData sheetId="46"/>
      <sheetData sheetId="47"/>
      <sheetData sheetId="4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PR_Grant Management_2"/>
      <sheetName val="PR_Total PR Cash Outflow_3A"/>
      <sheetName val="EFR Malaria Financial Data_3B"/>
      <sheetName val="EFR TB Financial Data_3B"/>
      <sheetName val="EFR HIV AIDS Financial Data_3B"/>
      <sheetName val="PR_Procurement Info_4"/>
      <sheetName val="PR_Cash Reconciliation_5A"/>
      <sheetName val="PR_Disbursement Request_5B"/>
      <sheetName val="PR_Overall Performance_6"/>
      <sheetName val="PR_Cash Request_7A&amp;B"/>
      <sheetName val="PR_Bank Details_7C"/>
      <sheetName val="PR_Annex_SR-Financials"/>
      <sheetName val="Checklist"/>
      <sheetName val="LFA_Programmatic Progress_1A"/>
      <sheetName val="LFA_Programmatic Progress_1B"/>
      <sheetName val="LFA_Grant Management_2"/>
      <sheetName val="LFA_Total PR Cash Outflow_3A"/>
      <sheetName val="LFA_EFR Review_3B"/>
      <sheetName val="LFA_Procurement Info_4"/>
      <sheetName val="LFA_Findings&amp;Recommendations"/>
      <sheetName val="LFA_Cash Reconciliation_5A"/>
      <sheetName val="LFA_Disbursement Recommend_5B"/>
      <sheetName val="Sheet1"/>
      <sheetName val="LFA_Overall Performance_6"/>
      <sheetName val="LFA_DisbursementRecommendation7"/>
      <sheetName val="LFA_Bank Details_7C"/>
      <sheetName val="LFA_Annex-SR Financials"/>
      <sheetName val="Annex for additional info"/>
      <sheetName val="Memo HIV"/>
      <sheetName val="Memo TB"/>
      <sheetName val="Memo Malaria"/>
      <sheetName val="Definitions-lists-EFR"/>
      <sheetName val="Sheet2"/>
      <sheetName val="PR_Programmatic Progress_1A"/>
      <sheetName val="PR_Programmatic Progress_1B"/>
      <sheetName val="Chg log"/>
      <sheetName val="Cover_Sheet"/>
      <sheetName val="PR_Grant_Management_2"/>
      <sheetName val="PR_Total_PR_Cash_Outflow_3A"/>
      <sheetName val="EFR_Malaria_Financial_Data_3B"/>
      <sheetName val="EFR_TB_Financial_Data_3B"/>
      <sheetName val="EFR_HIV_AIDS_Financial_Data_3B"/>
      <sheetName val="PR_Procurement_Info_4"/>
      <sheetName val="PR_Cash_Reconciliation_5A"/>
      <sheetName val="PR_Disbursement_Request_5B"/>
      <sheetName val="PR_Overall_Performance_6"/>
      <sheetName val="PR_Cash_Request_7A&amp;B"/>
      <sheetName val="PR_Bank_Details_7C"/>
      <sheetName val="LFA_Programmatic_Progress_1A"/>
      <sheetName val="LFA_Programmatic_Progress_1B"/>
      <sheetName val="LFA_Grant_Management_2"/>
      <sheetName val="LFA_Total_PR_Cash_Outflow_3A"/>
      <sheetName val="LFA_EFR_Review_3B"/>
      <sheetName val="LFA_Procurement_Info_4"/>
      <sheetName val="LFA_Cash_Reconciliation_5A"/>
      <sheetName val="LFA_Disbursement_Recommend_5B"/>
      <sheetName val="LFA_Overall_Performance_6"/>
      <sheetName val="LFA_Bank_Details_7C"/>
      <sheetName val="LFA_Annex-SR_Financials"/>
      <sheetName val="Annex_for_additional_info"/>
      <sheetName val="Memo_HIV"/>
      <sheetName val="Memo_TB"/>
      <sheetName val="Memo_Malaria"/>
      <sheetName val="PR_Programmatic_Progress_1A"/>
      <sheetName val="PR_Programmatic_Progress_1B"/>
      <sheetName val="Links"/>
      <sheetName val="SDAs_impact_datasources"/>
      <sheetName val="NFM Detailed Budget_LFA_GF"/>
      <sheetName val="Q4 Advance"/>
      <sheetName val="Variance Analysis Q8"/>
      <sheetName val="Variance Analysis Q1 - Q2"/>
      <sheetName val="NFM Summary Budget_LFA_GF"/>
    </sheetNames>
    <sheetDataSet>
      <sheetData sheetId="0"/>
      <sheetData sheetId="1">
        <row r="12">
          <cell r="D12" t="str">
            <v>Select</v>
          </cell>
        </row>
      </sheetData>
      <sheetData sheetId="2"/>
      <sheetData sheetId="3"/>
      <sheetData sheetId="4"/>
      <sheetData sheetId="5"/>
      <sheetData sheetId="6">
        <row r="10">
          <cell r="F10" t="str">
            <v>Select</v>
          </cell>
        </row>
      </sheetData>
      <sheetData sheetId="7"/>
      <sheetData sheetId="8"/>
      <sheetData sheetId="9"/>
      <sheetData sheetId="10">
        <row r="23">
          <cell r="D23">
            <v>0</v>
          </cell>
        </row>
      </sheetData>
      <sheetData sheetId="11"/>
      <sheetData sheetId="12"/>
      <sheetData sheetId="13"/>
      <sheetData sheetId="14">
        <row r="5">
          <cell r="C5">
            <v>0</v>
          </cell>
        </row>
      </sheetData>
      <sheetData sheetId="15"/>
      <sheetData sheetId="16"/>
      <sheetData sheetId="17">
        <row r="13">
          <cell r="H13">
            <v>0</v>
          </cell>
        </row>
      </sheetData>
      <sheetData sheetId="18"/>
      <sheetData sheetId="19"/>
      <sheetData sheetId="20"/>
      <sheetData sheetId="21"/>
      <sheetData sheetId="22">
        <row r="44">
          <cell r="K44">
            <v>0</v>
          </cell>
        </row>
      </sheetData>
      <sheetData sheetId="23"/>
      <sheetData sheetId="24">
        <row r="13">
          <cell r="H13" t="str">
            <v>Select</v>
          </cell>
        </row>
      </sheetData>
      <sheetData sheetId="25"/>
      <sheetData sheetId="26">
        <row r="2">
          <cell r="A2" t="str">
            <v>Please select…</v>
          </cell>
        </row>
      </sheetData>
      <sheetData sheetId="27">
        <row r="2">
          <cell r="A2" t="str">
            <v>Please select…</v>
          </cell>
        </row>
      </sheetData>
      <sheetData sheetId="28">
        <row r="2">
          <cell r="A2" t="str">
            <v>Please select…</v>
          </cell>
        </row>
      </sheetData>
      <sheetData sheetId="29">
        <row r="2">
          <cell r="A2" t="str">
            <v>Please select…</v>
          </cell>
        </row>
        <row r="3">
          <cell r="A3" t="str">
            <v>Prevention: Behavioral Change Communication - Mass media</v>
          </cell>
        </row>
        <row r="4">
          <cell r="A4" t="str">
            <v>Prevention: Behavioral Change Communication - community outreach</v>
          </cell>
        </row>
        <row r="5">
          <cell r="A5" t="str">
            <v>Prevention: Condom distribution</v>
          </cell>
        </row>
        <row r="6">
          <cell r="A6" t="str">
            <v xml:space="preserve">Prevention: Counseling and Testing </v>
          </cell>
        </row>
        <row r="7">
          <cell r="A7" t="str">
            <v>Prevention: PMTCT</v>
          </cell>
        </row>
        <row r="8">
          <cell r="A8" t="str">
            <v>Prevention: Post-exposure prophylaxis (PEP)</v>
          </cell>
        </row>
        <row r="9">
          <cell r="A9" t="str">
            <v>Prevention: STI diagnosis and treatment</v>
          </cell>
        </row>
        <row r="10">
          <cell r="A10" t="str">
            <v>Prevention: Blood safety and universal precaution</v>
          </cell>
        </row>
        <row r="11">
          <cell r="A11" t="str">
            <v>Treatment: Antiretroviral treatment (ARV) and monitoring</v>
          </cell>
        </row>
        <row r="12">
          <cell r="A12" t="str">
            <v>Treatment: Prophylaxis and treatment for opportunistic infections</v>
          </cell>
        </row>
        <row r="13">
          <cell r="A13" t="str">
            <v>Care and support: Care and support for the chronically ill</v>
          </cell>
        </row>
        <row r="14">
          <cell r="A14" t="str">
            <v>Care and support: Support for orphans and vulnerable children</v>
          </cell>
        </row>
        <row r="15">
          <cell r="A15" t="str">
            <v xml:space="preserve">TB/HIV collaborative activities: HIV care and support for HIV-positive TB patients </v>
          </cell>
        </row>
        <row r="16">
          <cell r="A16" t="str">
            <v>Supportive environment: Policy development including workplace policy</v>
          </cell>
        </row>
        <row r="17">
          <cell r="A17" t="str">
            <v xml:space="preserve">Supportive environment: Strengthening of civil society and institutional capacity building </v>
          </cell>
        </row>
        <row r="18">
          <cell r="A18" t="str">
            <v>Supportive environment: Stigma reduction in all settings</v>
          </cell>
        </row>
        <row r="19">
          <cell r="A19" t="str">
            <v>Supportive environment: Program management and administration</v>
          </cell>
        </row>
        <row r="20">
          <cell r="A20" t="str">
            <v>HSS: Service delivery</v>
          </cell>
        </row>
        <row r="21">
          <cell r="A21" t="str">
            <v>HSS: Human resources</v>
          </cell>
        </row>
        <row r="22">
          <cell r="A22" t="str">
            <v>HSS: Community Systems Strengthening</v>
          </cell>
        </row>
        <row r="23">
          <cell r="A23" t="str">
            <v>HSS: Information system &amp; Operational research</v>
          </cell>
        </row>
        <row r="24">
          <cell r="A24" t="str">
            <v>HSS: Infrastructure</v>
          </cell>
        </row>
        <row r="25">
          <cell r="A25" t="str">
            <v>HSS: Procurement and Supply management</v>
          </cell>
        </row>
        <row r="26">
          <cell r="A26" t="str">
            <v>HSS: Other, specify</v>
          </cell>
        </row>
      </sheetData>
      <sheetData sheetId="30">
        <row r="2">
          <cell r="A2" t="str">
            <v>please select…</v>
          </cell>
        </row>
      </sheetData>
      <sheetData sheetId="31">
        <row r="2">
          <cell r="A2" t="str">
            <v>please select…</v>
          </cell>
        </row>
      </sheetData>
      <sheetData sheetId="32">
        <row r="1">
          <cell r="A1" t="str">
            <v>Please Select…</v>
          </cell>
        </row>
      </sheetData>
      <sheetData sheetId="33"/>
      <sheetData sheetId="34">
        <row r="6">
          <cell r="C6" t="str">
            <v>Select</v>
          </cell>
        </row>
      </sheetData>
      <sheetData sheetId="35">
        <row r="12">
          <cell r="D12" t="str">
            <v>Select</v>
          </cell>
        </row>
      </sheetData>
      <sheetData sheetId="36" refreshError="1"/>
      <sheetData sheetId="37"/>
      <sheetData sheetId="38">
        <row r="12">
          <cell r="D12" t="str">
            <v>Select</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ow r="2">
          <cell r="A2" t="str">
            <v>Please select…</v>
          </cell>
        </row>
      </sheetData>
      <sheetData sheetId="62"/>
      <sheetData sheetId="63"/>
      <sheetData sheetId="64">
        <row r="12">
          <cell r="D12" t="str">
            <v>Select</v>
          </cell>
        </row>
      </sheetData>
      <sheetData sheetId="65"/>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ARIA_Financial Data"/>
      <sheetName val="Definitions"/>
      <sheetName val="Annex 1"/>
      <sheetName val="Annex 2"/>
      <sheetName val="Annex 3"/>
      <sheetName val="PR_Grant Management_2"/>
      <sheetName val="TB"/>
      <sheetName val="SDAs_impact_datasources"/>
      <sheetName val="LFA_Programmatic Progress_1B"/>
      <sheetName val="LFA_Programmatic Progress_1A"/>
      <sheetName val="LFA_Signature (image)"/>
      <sheetName val="MALARIA_Financial_Data3"/>
      <sheetName val="Annex_13"/>
      <sheetName val="Annex_23"/>
      <sheetName val="Annex_33"/>
      <sheetName val="MALARIA_Financial_Data1"/>
      <sheetName val="Annex_11"/>
      <sheetName val="Annex_21"/>
      <sheetName val="Annex_31"/>
      <sheetName val="MALARIA_Financial_Data"/>
      <sheetName val="Annex_1"/>
      <sheetName val="Annex_2"/>
      <sheetName val="Annex_3"/>
      <sheetName val="MALARIA_Financial_Data2"/>
      <sheetName val="Annex_12"/>
      <sheetName val="Annex_22"/>
      <sheetName val="Annex_32"/>
      <sheetName val="LFA_Programmatic Progress_1B0LD"/>
      <sheetName val="LFA_Programmatic Progress_1AOlD"/>
      <sheetName val="Memo HIV"/>
      <sheetName val="MALARIA_Financial_Data4"/>
      <sheetName val="Annex_14"/>
      <sheetName val="Annex_24"/>
      <sheetName val="Annex_34"/>
      <sheetName val="LFA_Programmatic_Progress_1B"/>
      <sheetName val="LFA_Programmatic_Progress_1A"/>
      <sheetName val="LFA_Signature_(image)"/>
      <sheetName val="Chg log"/>
      <sheetName val=""/>
      <sheetName val="TienLuong"/>
      <sheetName val="PR_Programmatic Progress_1B"/>
      <sheetName val="Definitions-lists-EFR"/>
      <sheetName val="Incoterm"/>
    </sheetNames>
    <sheetDataSet>
      <sheetData sheetId="0">
        <row r="28">
          <cell r="C28" t="str">
            <v>Please select…</v>
          </cell>
        </row>
      </sheetData>
      <sheetData sheetId="1">
        <row r="28">
          <cell r="C28" t="str">
            <v>Please select…</v>
          </cell>
        </row>
        <row r="29">
          <cell r="C29" t="str">
            <v>Prevention: Behavioral Change Communication - Mass Media</v>
          </cell>
        </row>
        <row r="30">
          <cell r="C30" t="str">
            <v>Prevention: Behavioral Change Communication - Community Outreach</v>
          </cell>
        </row>
        <row r="31">
          <cell r="C31" t="str">
            <v>Prevention: Insecticide-treated nets (ITNs)</v>
          </cell>
        </row>
        <row r="32">
          <cell r="C32" t="str">
            <v>Prevention: Malaria in pregnancy</v>
          </cell>
        </row>
        <row r="33">
          <cell r="C33" t="str">
            <v>Prevention: Vector control (other than ITNs)</v>
          </cell>
        </row>
        <row r="34">
          <cell r="C34" t="str">
            <v>Prevention: other - specify</v>
          </cell>
        </row>
        <row r="35">
          <cell r="C35" t="str">
            <v>Treatment: Prompt, effective antimalarial treatment</v>
          </cell>
        </row>
        <row r="36">
          <cell r="C36" t="str">
            <v>Treatment: Home-based management of malaria</v>
          </cell>
        </row>
        <row r="37">
          <cell r="C37" t="str">
            <v>Treatment: Diagnosis</v>
          </cell>
        </row>
        <row r="38">
          <cell r="C38" t="str">
            <v>Treatment: other - specify</v>
          </cell>
        </row>
        <row r="39">
          <cell r="C39" t="str">
            <v>Supportive Environment: Monitoring drug resistance</v>
          </cell>
        </row>
        <row r="40">
          <cell r="C40" t="str">
            <v>Supportive environment: Monitoring insecticide resistance</v>
          </cell>
        </row>
        <row r="41">
          <cell r="C41" t="str">
            <v>Supportive Environment: Coordination and partnership development (national, community, public-private)</v>
          </cell>
        </row>
        <row r="42">
          <cell r="C42" t="str">
            <v>Supportive environment: other - specify</v>
          </cell>
        </row>
        <row r="43">
          <cell r="C43" t="str">
            <v>Supportive environment: Program management and administration</v>
          </cell>
        </row>
        <row r="44">
          <cell r="C44" t="str">
            <v>HSS: Service delivery</v>
          </cell>
        </row>
        <row r="45">
          <cell r="C45" t="str">
            <v>HSS: Human resources</v>
          </cell>
        </row>
        <row r="46">
          <cell r="C46" t="str">
            <v>HSS: Community Systems Strengthening</v>
          </cell>
        </row>
        <row r="47">
          <cell r="C47" t="str">
            <v>HSS: Information system &amp; Operational research</v>
          </cell>
        </row>
        <row r="48">
          <cell r="C48" t="str">
            <v>HSS: Infrastructure</v>
          </cell>
        </row>
        <row r="49">
          <cell r="C49" t="str">
            <v>HSS: Procurement and Supply management</v>
          </cell>
        </row>
        <row r="50">
          <cell r="C50" t="str">
            <v>HSS: other - specify</v>
          </cell>
        </row>
      </sheetData>
      <sheetData sheetId="2"/>
      <sheetData sheetId="3"/>
      <sheetData sheetId="4"/>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sheetData sheetId="31"/>
      <sheetData sheetId="32"/>
      <sheetData sheetId="33"/>
      <sheetData sheetId="34"/>
      <sheetData sheetId="35"/>
      <sheetData sheetId="36"/>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_Financial Data"/>
      <sheetName val="Definitions"/>
      <sheetName val="Annex 1"/>
      <sheetName val="Annex 2"/>
      <sheetName val="Annex 3"/>
      <sheetName val="GSU-form#018rev2014"/>
      <sheetName val="TB_Financial_Data3"/>
      <sheetName val="Annex_13"/>
      <sheetName val="Annex_23"/>
      <sheetName val="Annex_33"/>
      <sheetName val="TB_Financial_Data1"/>
      <sheetName val="Annex_11"/>
      <sheetName val="Annex_21"/>
      <sheetName val="Annex_31"/>
      <sheetName val="TB_Financial_Data"/>
      <sheetName val="Annex_1"/>
      <sheetName val="Annex_2"/>
      <sheetName val="Annex_3"/>
      <sheetName val="TB_Financial_Data2"/>
      <sheetName val="Annex_12"/>
      <sheetName val="Annex_22"/>
      <sheetName val="Annex_32"/>
      <sheetName val="TB_Financial_Data4"/>
      <sheetName val="Annex_14"/>
      <sheetName val="Annex_24"/>
      <sheetName val="Annex_34"/>
      <sheetName val="LFA_Programmatic Progress_1B"/>
      <sheetName val="Memo HIV"/>
      <sheetName val="Definitions-lists-EFR"/>
      <sheetName val="LFA_Programmatic Progress_1A"/>
      <sheetName val="PR_Grant Management_2"/>
      <sheetName val="HalamanDepan"/>
      <sheetName val="Data_PROGRAM"/>
      <sheetName val="Data_KADER"/>
      <sheetName val="Entri_LAPORAN"/>
      <sheetName val="Form_VERIFIKASI_DATA"/>
      <sheetName val="Entri_PASIEN BTA+"/>
      <sheetName val="Entri_HQDOTS"/>
      <sheetName val="Rekap_Kabupaten"/>
      <sheetName val="Rekap_CAPAIANKabupaten"/>
      <sheetName val="Rekap_KINERJAKADER"/>
      <sheetName val="Form_REWARDKADER"/>
      <sheetName val="CatInt"/>
      <sheetName val="ChiTietDZ"/>
      <sheetName val="VuaBT"/>
      <sheetName val="Pharma CIs"/>
      <sheetName val="Incoterm"/>
    </sheetNames>
    <sheetDataSet>
      <sheetData sheetId="0">
        <row r="39">
          <cell r="C39" t="str">
            <v>Please select…</v>
          </cell>
        </row>
      </sheetData>
      <sheetData sheetId="1">
        <row r="39">
          <cell r="C39" t="str">
            <v>Please select…</v>
          </cell>
        </row>
        <row r="40">
          <cell r="C40" t="str">
            <v>Improving diagnosis</v>
          </cell>
        </row>
        <row r="41">
          <cell r="C41" t="str">
            <v>Standardized treatment, patient support and patient charter</v>
          </cell>
        </row>
        <row r="42">
          <cell r="C42" t="str">
            <v>Procurement and Supply management</v>
          </cell>
        </row>
        <row r="43">
          <cell r="C43" t="str">
            <v>M&amp;E</v>
          </cell>
        </row>
        <row r="44">
          <cell r="C44" t="str">
            <v>TB/HIV</v>
          </cell>
        </row>
        <row r="45">
          <cell r="C45" t="str">
            <v>MDR-TB</v>
          </cell>
        </row>
        <row r="46">
          <cell r="C46" t="str">
            <v>High-risk groups</v>
          </cell>
        </row>
        <row r="47">
          <cell r="C47" t="str">
            <v>HSS (beyond TB)</v>
          </cell>
        </row>
        <row r="48">
          <cell r="C48" t="str">
            <v>PAL (Practical Approach to Lung Health)</v>
          </cell>
        </row>
        <row r="49">
          <cell r="C49" t="str">
            <v>PPM / ISTC (Public-Public, Public-Private Mix (PPM) approaches and International standards for TB care)</v>
          </cell>
        </row>
        <row r="50">
          <cell r="C50" t="str">
            <v>ACSM (Advocacy, communication and social mobilization)</v>
          </cell>
        </row>
        <row r="51">
          <cell r="C51" t="str">
            <v>Community TB care</v>
          </cell>
        </row>
        <row r="52">
          <cell r="C52" t="str">
            <v>Programme-based operational research</v>
          </cell>
        </row>
        <row r="53">
          <cell r="C53" t="str">
            <v>Other - specify</v>
          </cell>
        </row>
        <row r="54">
          <cell r="C54" t="str">
            <v>Supportive environment: Program management and administration</v>
          </cell>
        </row>
      </sheetData>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sheetData sheetId="32"/>
      <sheetData sheetId="33">
        <row r="39">
          <cell r="C39">
            <v>0</v>
          </cell>
        </row>
      </sheetData>
      <sheetData sheetId="34">
        <row r="39">
          <cell r="C39">
            <v>0</v>
          </cell>
        </row>
      </sheetData>
      <sheetData sheetId="35">
        <row r="39">
          <cell r="C39">
            <v>0</v>
          </cell>
        </row>
      </sheetData>
      <sheetData sheetId="36"/>
      <sheetData sheetId="37"/>
      <sheetData sheetId="38">
        <row r="39">
          <cell r="C39">
            <v>0</v>
          </cell>
        </row>
      </sheetData>
      <sheetData sheetId="39">
        <row r="39">
          <cell r="C39">
            <v>0</v>
          </cell>
        </row>
      </sheetData>
      <sheetData sheetId="40">
        <row r="39">
          <cell r="C39">
            <v>0</v>
          </cell>
        </row>
      </sheetData>
      <sheetData sheetId="41">
        <row r="39">
          <cell r="C39">
            <v>0</v>
          </cell>
        </row>
      </sheetData>
      <sheetData sheetId="42" refreshError="1"/>
      <sheetData sheetId="43" refreshError="1"/>
      <sheetData sheetId="44" refreshError="1"/>
      <sheetData sheetId="45" refreshError="1"/>
      <sheetData sheetId="4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Instructions"/>
      <sheetName val="CCM Funding Request Form"/>
      <sheetName val="Performance Framework"/>
      <sheetName val="Indicator Definition"/>
      <sheetName val="Co-Payment"/>
      <sheetName val="Budget-Summary"/>
      <sheetName val="Detailed Budget 2016"/>
      <sheetName val="Detailed Budget 2017"/>
      <sheetName val="Q-S Calendar"/>
      <sheetName val="Workplan "/>
      <sheetName val="Assumptions and Systems"/>
      <sheetName val="TA summary"/>
      <sheetName val="Data"/>
      <sheetName val="ReportData"/>
    </sheetNames>
    <sheetDataSet>
      <sheetData sheetId="0" refreshError="1">
        <row r="5">
          <cell r="B5" t="str">
            <v>EAF</v>
          </cell>
        </row>
        <row r="6">
          <cell r="B6" t="str">
            <v>Uganda</v>
          </cell>
        </row>
        <row r="7">
          <cell r="B7" t="str">
            <v>CCM Uganda</v>
          </cell>
        </row>
        <row r="9">
          <cell r="B9" t="str">
            <v>Uganda Country Coordinating Mechanism</v>
          </cell>
        </row>
        <row r="10">
          <cell r="B10" t="str">
            <v>USD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C3" t="str">
            <v>Oversight</v>
          </cell>
          <cell r="D3" t="str">
            <v>Ov</v>
          </cell>
          <cell r="I3" t="str">
            <v>HR</v>
          </cell>
          <cell r="J3" t="str">
            <v>HR - Human Resources</v>
          </cell>
          <cell r="P3" t="str">
            <v>Afghanistan</v>
          </cell>
          <cell r="R3" t="str">
            <v>CCM Afghanistan</v>
          </cell>
          <cell r="W3" t="str">
            <v>EAF</v>
          </cell>
        </row>
        <row r="4">
          <cell r="C4" t="str">
            <v>Constituency Engagement</v>
          </cell>
          <cell r="D4" t="str">
            <v>Ce</v>
          </cell>
          <cell r="I4" t="str">
            <v>TA</v>
          </cell>
          <cell r="J4" t="str">
            <v>TA - Technical Assistance (TA)</v>
          </cell>
          <cell r="P4" t="str">
            <v>Albania</v>
          </cell>
          <cell r="R4" t="str">
            <v>CCM Albania</v>
          </cell>
          <cell r="W4" t="str">
            <v>EAP</v>
          </cell>
        </row>
        <row r="5">
          <cell r="C5" t="str">
            <v>Alignment</v>
          </cell>
          <cell r="D5" t="str">
            <v>Al</v>
          </cell>
          <cell r="I5" t="str">
            <v>PA</v>
          </cell>
          <cell r="J5" t="str">
            <v xml:space="preserve">PA - Planning and Administration </v>
          </cell>
          <cell r="P5" t="str">
            <v>Algeria</v>
          </cell>
          <cell r="R5" t="str">
            <v>CCM Algeria</v>
          </cell>
          <cell r="W5" t="str">
            <v>EECA</v>
          </cell>
        </row>
        <row r="6">
          <cell r="C6" t="str">
            <v>Capacity building/Gender</v>
          </cell>
          <cell r="D6" t="str">
            <v>Cb</v>
          </cell>
          <cell r="I6" t="str">
            <v>MT</v>
          </cell>
          <cell r="J6" t="str">
            <v>MT - Meetings Training Workshops Consultations</v>
          </cell>
          <cell r="P6" t="str">
            <v>Angola</v>
          </cell>
          <cell r="R6" t="str">
            <v>CCM Angola</v>
          </cell>
          <cell r="W6" t="str">
            <v>LAC</v>
          </cell>
        </row>
        <row r="7">
          <cell r="I7" t="str">
            <v>CM</v>
          </cell>
          <cell r="J7" t="str">
            <v>CM - Communication materials</v>
          </cell>
          <cell r="P7" t="str">
            <v>Argentina</v>
          </cell>
          <cell r="R7" t="str">
            <v>CCM Argentina</v>
          </cell>
          <cell r="W7" t="str">
            <v>MENA</v>
          </cell>
        </row>
        <row r="8">
          <cell r="I8" t="str">
            <v>EQ</v>
          </cell>
          <cell r="J8" t="str">
            <v>EQ - Equipment</v>
          </cell>
          <cell r="P8" t="str">
            <v>Armenia</v>
          </cell>
          <cell r="R8" t="str">
            <v>CCM Armenia</v>
          </cell>
          <cell r="W8" t="str">
            <v>SAF</v>
          </cell>
        </row>
        <row r="9">
          <cell r="C9" t="str">
            <v>Ov</v>
          </cell>
          <cell r="D9" t="str">
            <v>Oversight</v>
          </cell>
          <cell r="I9" t="str">
            <v>OH</v>
          </cell>
          <cell r="J9" t="str">
            <v>OH - Overheads</v>
          </cell>
          <cell r="P9" t="str">
            <v>Azerbaijan</v>
          </cell>
          <cell r="R9" t="str">
            <v>CCM Azerbaijan</v>
          </cell>
          <cell r="W9" t="str">
            <v>SWA</v>
          </cell>
        </row>
        <row r="10">
          <cell r="C10" t="str">
            <v>Ce</v>
          </cell>
          <cell r="D10" t="str">
            <v>Communication and Constituency Engagement</v>
          </cell>
          <cell r="I10" t="str">
            <v>OT</v>
          </cell>
          <cell r="J10" t="str">
            <v>OT - Others</v>
          </cell>
          <cell r="P10" t="str">
            <v>Bangladesh</v>
          </cell>
          <cell r="R10" t="str">
            <v>CCM Bangladesh</v>
          </cell>
          <cell r="W10" t="str">
            <v>WCA</v>
          </cell>
        </row>
        <row r="11">
          <cell r="C11" t="str">
            <v>Al</v>
          </cell>
          <cell r="D11" t="str">
            <v>Alignment</v>
          </cell>
          <cell r="P11" t="str">
            <v>Belarus</v>
          </cell>
          <cell r="R11" t="str">
            <v>CCM Belarus</v>
          </cell>
        </row>
        <row r="12">
          <cell r="C12" t="str">
            <v>Cb</v>
          </cell>
          <cell r="D12" t="str">
            <v>Capacity building/Gender</v>
          </cell>
          <cell r="P12" t="str">
            <v>Belize</v>
          </cell>
          <cell r="R12" t="str">
            <v>CCM Belize</v>
          </cell>
        </row>
        <row r="13">
          <cell r="C13" t="str">
            <v>IC</v>
          </cell>
          <cell r="D13" t="str">
            <v>Indirect Costs</v>
          </cell>
          <cell r="P13" t="str">
            <v>Benin</v>
          </cell>
          <cell r="R13" t="str">
            <v>CCM Benin</v>
          </cell>
        </row>
        <row r="14">
          <cell r="P14" t="str">
            <v>Bhutan</v>
          </cell>
          <cell r="R14" t="str">
            <v>CCM Bhutan</v>
          </cell>
        </row>
        <row r="15">
          <cell r="P15" t="str">
            <v>Bolivia</v>
          </cell>
          <cell r="R15" t="str">
            <v>CCM Bolivia</v>
          </cell>
        </row>
        <row r="16">
          <cell r="P16" t="str">
            <v>Bosnia and Herzegovina</v>
          </cell>
          <cell r="R16" t="str">
            <v>CCM Bosnia and Herzegovina</v>
          </cell>
        </row>
        <row r="17">
          <cell r="P17" t="str">
            <v>Botswana</v>
          </cell>
          <cell r="R17" t="str">
            <v>CCM Botswana</v>
          </cell>
        </row>
        <row r="18">
          <cell r="P18" t="str">
            <v>Brazil</v>
          </cell>
          <cell r="R18" t="str">
            <v>CCM Brazil</v>
          </cell>
        </row>
        <row r="19">
          <cell r="P19" t="str">
            <v>Bulgaria</v>
          </cell>
          <cell r="R19" t="str">
            <v>CCM Bulgaria</v>
          </cell>
        </row>
        <row r="21">
          <cell r="E21" t="str">
            <v>1 - Strengthen CCM Structures and Systems</v>
          </cell>
          <cell r="H21" t="e">
            <v>#REF!</v>
          </cell>
          <cell r="P21" t="str">
            <v>Burkina Faso</v>
          </cell>
          <cell r="R21" t="str">
            <v>CCM Burkina Faso</v>
          </cell>
        </row>
        <row r="22">
          <cell r="E22" t="str">
            <v xml:space="preserve">2 - Strengthen CCM Oversight of Finances, Programming and Resource Mobilization </v>
          </cell>
          <cell r="H22" t="e">
            <v>#REF!</v>
          </cell>
          <cell r="P22" t="str">
            <v>Burundi</v>
          </cell>
          <cell r="R22" t="str">
            <v>CCM Burundi</v>
          </cell>
        </row>
        <row r="23">
          <cell r="E23" t="str">
            <v xml:space="preserve">3 - Strengthen CCM Communication and Constituency Engagement </v>
          </cell>
          <cell r="H23" t="e">
            <v>#REF!</v>
          </cell>
          <cell r="P23" t="str">
            <v>Cambodia</v>
          </cell>
          <cell r="R23" t="str">
            <v>CCM Cambodia</v>
          </cell>
        </row>
        <row r="24">
          <cell r="E24" t="str">
            <v>4 - INDIRECT COSTS</v>
          </cell>
          <cell r="H24" t="e">
            <v>#REF!</v>
          </cell>
          <cell r="P24" t="str">
            <v>Cameroon</v>
          </cell>
          <cell r="R24" t="str">
            <v>CCM Cameroon</v>
          </cell>
        </row>
        <row r="25">
          <cell r="H25" t="e">
            <v>#REF!</v>
          </cell>
          <cell r="P25" t="str">
            <v>Cape Verde</v>
          </cell>
          <cell r="R25" t="str">
            <v>CCM Cape Verde</v>
          </cell>
        </row>
        <row r="26">
          <cell r="H26" t="e">
            <v>#REF!</v>
          </cell>
          <cell r="P26" t="str">
            <v>Central African Republic</v>
          </cell>
          <cell r="R26" t="str">
            <v>CCM Central African Republic</v>
          </cell>
        </row>
        <row r="27">
          <cell r="H27" t="e">
            <v>#REF!</v>
          </cell>
          <cell r="P27" t="str">
            <v>Chad</v>
          </cell>
          <cell r="R27" t="str">
            <v>CCM Chad</v>
          </cell>
        </row>
        <row r="28">
          <cell r="H28" t="e">
            <v>#REF!</v>
          </cell>
          <cell r="P28" t="str">
            <v>Chile</v>
          </cell>
          <cell r="R28" t="str">
            <v>CCM Chile</v>
          </cell>
        </row>
        <row r="29">
          <cell r="P29" t="str">
            <v>China</v>
          </cell>
          <cell r="R29" t="str">
            <v>CCM China</v>
          </cell>
        </row>
        <row r="30">
          <cell r="P30" t="str">
            <v>Colombia</v>
          </cell>
          <cell r="R30" t="str">
            <v>CCM Colombia</v>
          </cell>
        </row>
        <row r="31">
          <cell r="P31" t="str">
            <v>Comoros</v>
          </cell>
          <cell r="R31" t="str">
            <v>CCM Comoros</v>
          </cell>
        </row>
        <row r="32">
          <cell r="P32" t="str">
            <v>Congo (DRC)</v>
          </cell>
          <cell r="R32" t="str">
            <v>CCM DRC (Democratic Republic of Congo)</v>
          </cell>
        </row>
        <row r="33">
          <cell r="P33" t="str">
            <v>Congo (Republic of)</v>
          </cell>
          <cell r="R33" t="str">
            <v>CCM Congo (Republic of)</v>
          </cell>
        </row>
        <row r="34">
          <cell r="P34" t="str">
            <v>Costa Rica</v>
          </cell>
          <cell r="R34" t="str">
            <v>CCM Costa Rica</v>
          </cell>
        </row>
        <row r="35">
          <cell r="P35" t="str">
            <v>Cote d'Ivoire</v>
          </cell>
          <cell r="R35" t="str">
            <v>CCM Cote d'Ivoire</v>
          </cell>
        </row>
        <row r="36">
          <cell r="P36" t="str">
            <v>Croatia</v>
          </cell>
          <cell r="R36" t="str">
            <v>CCM Croatia</v>
          </cell>
        </row>
        <row r="37">
          <cell r="P37" t="str">
            <v>Cuba</v>
          </cell>
          <cell r="R37" t="str">
            <v>CCM Cuba</v>
          </cell>
        </row>
        <row r="38">
          <cell r="P38" t="str">
            <v>Djibouti</v>
          </cell>
          <cell r="R38" t="str">
            <v>CCM Djibouti</v>
          </cell>
        </row>
        <row r="39">
          <cell r="P39" t="str">
            <v>Dominican Republic</v>
          </cell>
          <cell r="R39" t="str">
            <v>CCM Dominican Republic</v>
          </cell>
        </row>
        <row r="40">
          <cell r="P40" t="str">
            <v>DPR of Korea</v>
          </cell>
          <cell r="R40" t="str">
            <v>CCM DPR of Korea</v>
          </cell>
        </row>
        <row r="41">
          <cell r="P41" t="str">
            <v>Ecuador</v>
          </cell>
          <cell r="R41" t="str">
            <v>CCM Ecuador</v>
          </cell>
        </row>
        <row r="42">
          <cell r="P42" t="str">
            <v>Egypt</v>
          </cell>
          <cell r="R42" t="str">
            <v>CCM Egypt</v>
          </cell>
        </row>
        <row r="43">
          <cell r="P43" t="str">
            <v>El Salvador</v>
          </cell>
          <cell r="R43" t="str">
            <v>CCM El Salvador</v>
          </cell>
        </row>
        <row r="44">
          <cell r="P44" t="str">
            <v>Equatorial Guinea</v>
          </cell>
          <cell r="R44" t="str">
            <v>CCM Equatorial Guinea</v>
          </cell>
        </row>
        <row r="45">
          <cell r="P45" t="str">
            <v>Eritrea</v>
          </cell>
          <cell r="R45" t="str">
            <v>CCM Eritrea</v>
          </cell>
        </row>
        <row r="46">
          <cell r="P46" t="str">
            <v>Estonia</v>
          </cell>
          <cell r="R46" t="str">
            <v>CCM Estonia</v>
          </cell>
        </row>
        <row r="47">
          <cell r="P47" t="str">
            <v>Ethiopia</v>
          </cell>
          <cell r="R47" t="str">
            <v>CCM Ethiopia</v>
          </cell>
        </row>
        <row r="48">
          <cell r="P48" t="str">
            <v>Fiji</v>
          </cell>
          <cell r="R48" t="str">
            <v>CCM Fiji</v>
          </cell>
        </row>
        <row r="49">
          <cell r="P49" t="str">
            <v>Gabon</v>
          </cell>
          <cell r="R49" t="str">
            <v>CCM Gabon</v>
          </cell>
        </row>
        <row r="50">
          <cell r="P50" t="str">
            <v>Gambia</v>
          </cell>
          <cell r="R50" t="str">
            <v>CCM Gambia</v>
          </cell>
        </row>
        <row r="51">
          <cell r="P51" t="str">
            <v>Georgia</v>
          </cell>
          <cell r="R51" t="str">
            <v>CCM Georgia</v>
          </cell>
        </row>
        <row r="52">
          <cell r="P52" t="str">
            <v>Ghana</v>
          </cell>
          <cell r="R52" t="str">
            <v>CCM Ghana</v>
          </cell>
        </row>
        <row r="53">
          <cell r="P53" t="str">
            <v>Guatemala</v>
          </cell>
          <cell r="R53" t="str">
            <v>CCM Guatemala</v>
          </cell>
        </row>
        <row r="54">
          <cell r="P54" t="str">
            <v>Guinea</v>
          </cell>
          <cell r="R54" t="str">
            <v>CCM Guinea</v>
          </cell>
        </row>
        <row r="55">
          <cell r="P55" t="str">
            <v>Guinea-Bissau (Republic of)</v>
          </cell>
          <cell r="R55" t="str">
            <v>CCM Guinea-Bissau (Republic of)</v>
          </cell>
        </row>
        <row r="56">
          <cell r="P56" t="str">
            <v>Guyana</v>
          </cell>
          <cell r="R56" t="str">
            <v>CCM Guyana</v>
          </cell>
        </row>
        <row r="57">
          <cell r="P57" t="str">
            <v>Haiti</v>
          </cell>
          <cell r="R57" t="str">
            <v>CCM Haiti</v>
          </cell>
        </row>
        <row r="58">
          <cell r="P58" t="str">
            <v>Honduras</v>
          </cell>
          <cell r="R58" t="str">
            <v>CCM Honduras</v>
          </cell>
        </row>
        <row r="59">
          <cell r="P59" t="str">
            <v>India</v>
          </cell>
          <cell r="R59" t="str">
            <v>CCM India</v>
          </cell>
        </row>
        <row r="60">
          <cell r="P60" t="str">
            <v>Indonesia</v>
          </cell>
          <cell r="R60" t="str">
            <v>CCM Indonesia</v>
          </cell>
        </row>
        <row r="61">
          <cell r="P61" t="str">
            <v>Iran (Islamic Republic of)</v>
          </cell>
          <cell r="R61" t="str">
            <v>CCM Iran (Islamic Republic of)</v>
          </cell>
        </row>
        <row r="62">
          <cell r="P62" t="str">
            <v>Iraq</v>
          </cell>
          <cell r="R62" t="str">
            <v>CCM Iraq</v>
          </cell>
        </row>
        <row r="63">
          <cell r="P63" t="str">
            <v>Jamaica</v>
          </cell>
          <cell r="R63" t="str">
            <v>CCM Jamaica</v>
          </cell>
        </row>
        <row r="64">
          <cell r="P64" t="str">
            <v>Jordan</v>
          </cell>
          <cell r="R64" t="str">
            <v>CCM Jordan</v>
          </cell>
        </row>
        <row r="65">
          <cell r="P65" t="str">
            <v>Kazakhstan</v>
          </cell>
          <cell r="R65" t="str">
            <v>CCM Kazakhstan</v>
          </cell>
        </row>
        <row r="66">
          <cell r="P66" t="str">
            <v>Kenya</v>
          </cell>
          <cell r="R66" t="str">
            <v>CCM Kenya</v>
          </cell>
        </row>
        <row r="67">
          <cell r="P67" t="str">
            <v>Kosovo</v>
          </cell>
          <cell r="R67" t="str">
            <v>CCM Kosovo</v>
          </cell>
        </row>
        <row r="68">
          <cell r="P68" t="str">
            <v>Kyrgyzstan</v>
          </cell>
          <cell r="R68" t="str">
            <v>CCM Kyrgyzstan</v>
          </cell>
        </row>
        <row r="69">
          <cell r="P69" t="str">
            <v>Lao PDR</v>
          </cell>
          <cell r="R69" t="str">
            <v>CCM Lao PDR</v>
          </cell>
        </row>
        <row r="70">
          <cell r="P70" t="str">
            <v>Lesotho</v>
          </cell>
          <cell r="R70" t="str">
            <v>CCM Lesotho</v>
          </cell>
        </row>
        <row r="71">
          <cell r="P71" t="str">
            <v>Liberia</v>
          </cell>
          <cell r="R71" t="str">
            <v>CCM Liberia</v>
          </cell>
        </row>
        <row r="72">
          <cell r="P72" t="str">
            <v>Macedonia</v>
          </cell>
          <cell r="R72" t="str">
            <v>CCM Macedonia</v>
          </cell>
        </row>
        <row r="73">
          <cell r="P73" t="str">
            <v>Madagascar</v>
          </cell>
          <cell r="R73" t="str">
            <v>CCM Madagascar</v>
          </cell>
        </row>
        <row r="74">
          <cell r="P74" t="str">
            <v>Malawi</v>
          </cell>
          <cell r="R74" t="str">
            <v>CCM Malawi</v>
          </cell>
        </row>
        <row r="75">
          <cell r="P75" t="str">
            <v>Maldives</v>
          </cell>
          <cell r="R75" t="str">
            <v>CCM Maldives</v>
          </cell>
        </row>
        <row r="76">
          <cell r="P76" t="str">
            <v>Mali</v>
          </cell>
          <cell r="R76" t="str">
            <v>CCM Mali</v>
          </cell>
        </row>
        <row r="77">
          <cell r="P77" t="str">
            <v>Mauritania</v>
          </cell>
          <cell r="R77" t="str">
            <v>CCM Mauritania</v>
          </cell>
        </row>
        <row r="78">
          <cell r="P78" t="str">
            <v>Mauritius</v>
          </cell>
          <cell r="R78" t="str">
            <v>CCM Mauritius</v>
          </cell>
        </row>
        <row r="79">
          <cell r="P79" t="str">
            <v>Moldova</v>
          </cell>
          <cell r="R79" t="str">
            <v>CCM Moldova</v>
          </cell>
        </row>
        <row r="80">
          <cell r="P80" t="str">
            <v>Mongolia</v>
          </cell>
          <cell r="R80" t="str">
            <v>CCM Mongolia</v>
          </cell>
        </row>
        <row r="81">
          <cell r="P81" t="str">
            <v>Montenegro</v>
          </cell>
          <cell r="R81" t="str">
            <v>CCM Montenegro</v>
          </cell>
        </row>
        <row r="82">
          <cell r="P82" t="str">
            <v>Morocco</v>
          </cell>
          <cell r="R82" t="str">
            <v>CCM Morocco</v>
          </cell>
        </row>
        <row r="83">
          <cell r="P83" t="str">
            <v>Mozambique</v>
          </cell>
          <cell r="R83" t="str">
            <v>CCM Mozambique</v>
          </cell>
        </row>
        <row r="84">
          <cell r="P84" t="str">
            <v>Myanmar</v>
          </cell>
          <cell r="R84" t="str">
            <v>CCM Myanmar</v>
          </cell>
        </row>
        <row r="85">
          <cell r="P85" t="str">
            <v>Namibia</v>
          </cell>
          <cell r="R85" t="str">
            <v>CCM Namibia</v>
          </cell>
        </row>
        <row r="86">
          <cell r="P86" t="str">
            <v>Nepal</v>
          </cell>
          <cell r="R86" t="str">
            <v>CCM Nepal</v>
          </cell>
        </row>
        <row r="87">
          <cell r="P87" t="str">
            <v>Nicaragua</v>
          </cell>
          <cell r="R87" t="str">
            <v>CCM Nicaragua</v>
          </cell>
        </row>
        <row r="88">
          <cell r="P88" t="str">
            <v>Niger</v>
          </cell>
          <cell r="R88" t="str">
            <v>CCM Niger</v>
          </cell>
        </row>
        <row r="89">
          <cell r="P89" t="str">
            <v>Nigeria</v>
          </cell>
          <cell r="R89" t="str">
            <v>CCM Nigeria</v>
          </cell>
        </row>
        <row r="90">
          <cell r="P90" t="str">
            <v>Pakistan</v>
          </cell>
          <cell r="R90" t="str">
            <v>CCM Pakistan</v>
          </cell>
        </row>
        <row r="91">
          <cell r="P91" t="str">
            <v>Papua New Guinea</v>
          </cell>
          <cell r="R91" t="str">
            <v>CCM Papua New Guinea</v>
          </cell>
        </row>
        <row r="92">
          <cell r="P92" t="str">
            <v>Paraguay</v>
          </cell>
          <cell r="R92" t="str">
            <v>CCM Paraguay</v>
          </cell>
        </row>
        <row r="93">
          <cell r="P93" t="str">
            <v>Peru</v>
          </cell>
          <cell r="R93" t="str">
            <v>CCM Peru</v>
          </cell>
        </row>
        <row r="94">
          <cell r="P94" t="str">
            <v>Philippines</v>
          </cell>
          <cell r="R94" t="str">
            <v>CCM Philippines</v>
          </cell>
        </row>
        <row r="95">
          <cell r="P95" t="str">
            <v>Romania</v>
          </cell>
          <cell r="R95" t="str">
            <v>CCM Romania</v>
          </cell>
        </row>
        <row r="96">
          <cell r="P96" t="str">
            <v>Russian Federation</v>
          </cell>
          <cell r="R96" t="str">
            <v>CCM Russian Federation</v>
          </cell>
        </row>
        <row r="97">
          <cell r="P97" t="str">
            <v>Rwanda</v>
          </cell>
          <cell r="R97" t="str">
            <v>CCM Rwanda</v>
          </cell>
        </row>
        <row r="98">
          <cell r="P98" t="str">
            <v>São Tomé and Príncipe</v>
          </cell>
          <cell r="R98" t="str">
            <v>CCM São Tomé and Príncipe</v>
          </cell>
        </row>
        <row r="99">
          <cell r="P99" t="str">
            <v>Senegal</v>
          </cell>
          <cell r="R99" t="str">
            <v>CCM Senegal</v>
          </cell>
        </row>
        <row r="100">
          <cell r="P100" t="str">
            <v>Serbia</v>
          </cell>
          <cell r="R100" t="str">
            <v>CCM Serbia</v>
          </cell>
        </row>
        <row r="101">
          <cell r="P101" t="str">
            <v>Sierra Leone</v>
          </cell>
          <cell r="R101" t="str">
            <v>CCM Sierra Leone</v>
          </cell>
        </row>
        <row r="102">
          <cell r="P102" t="str">
            <v>Solomon Islands</v>
          </cell>
          <cell r="R102" t="str">
            <v>CCM Solomon Islands</v>
          </cell>
        </row>
        <row r="103">
          <cell r="P103" t="str">
            <v>South Africa</v>
          </cell>
          <cell r="R103" t="str">
            <v>CCM South Africa</v>
          </cell>
        </row>
        <row r="104">
          <cell r="P104" t="str">
            <v>Sri Lanka</v>
          </cell>
          <cell r="R104" t="str">
            <v>CCM Sri Lanka</v>
          </cell>
        </row>
        <row r="105">
          <cell r="P105" t="str">
            <v>Sudan</v>
          </cell>
          <cell r="R105" t="str">
            <v>CCM Sudan</v>
          </cell>
        </row>
        <row r="106">
          <cell r="P106" t="str">
            <v>Suriname</v>
          </cell>
          <cell r="R106" t="str">
            <v>CCM Suriname</v>
          </cell>
        </row>
        <row r="107">
          <cell r="P107" t="str">
            <v>Swaziland</v>
          </cell>
          <cell r="R107" t="str">
            <v>CCM Swaziland</v>
          </cell>
        </row>
        <row r="108">
          <cell r="P108" t="str">
            <v>Syrian Arab Republic</v>
          </cell>
          <cell r="R108" t="str">
            <v>CCM Syrian Arab Republic</v>
          </cell>
        </row>
        <row r="109">
          <cell r="P109" t="str">
            <v>Tajikistan</v>
          </cell>
          <cell r="R109" t="str">
            <v>CCM Tajikistan</v>
          </cell>
        </row>
        <row r="110">
          <cell r="P110" t="str">
            <v>Tanzania (United Republic</v>
          </cell>
          <cell r="R110" t="str">
            <v>CCM Tanzania (United Republic of)</v>
          </cell>
        </row>
        <row r="111">
          <cell r="P111" t="str">
            <v>Thailand</v>
          </cell>
          <cell r="R111" t="str">
            <v>CCM Thailand</v>
          </cell>
        </row>
        <row r="112">
          <cell r="P112" t="str">
            <v>Timor Leste</v>
          </cell>
          <cell r="R112" t="str">
            <v>CCM Timor Leste</v>
          </cell>
        </row>
        <row r="113">
          <cell r="P113" t="str">
            <v>Togo</v>
          </cell>
          <cell r="R113" t="str">
            <v>CCM Togo</v>
          </cell>
        </row>
        <row r="114">
          <cell r="P114" t="str">
            <v>Tunisia</v>
          </cell>
          <cell r="R114" t="str">
            <v>CCM Tunisia</v>
          </cell>
        </row>
        <row r="115">
          <cell r="P115" t="str">
            <v>Turkey</v>
          </cell>
          <cell r="R115" t="str">
            <v>CCM Turkey</v>
          </cell>
        </row>
        <row r="116">
          <cell r="P116" t="str">
            <v>Turkmenistan</v>
          </cell>
          <cell r="R116" t="str">
            <v>CCM Turkmenistan</v>
          </cell>
        </row>
        <row r="117">
          <cell r="P117" t="str">
            <v>Uganda</v>
          </cell>
          <cell r="R117" t="str">
            <v>CCM Uganda</v>
          </cell>
        </row>
        <row r="118">
          <cell r="P118" t="str">
            <v>Ukraine</v>
          </cell>
          <cell r="R118" t="str">
            <v>CCM Ukraine</v>
          </cell>
        </row>
        <row r="119">
          <cell r="P119" t="str">
            <v>Uzbekistan</v>
          </cell>
          <cell r="R119" t="str">
            <v>CCM Uzbekistan</v>
          </cell>
        </row>
        <row r="120">
          <cell r="P120" t="str">
            <v>Viet Nam</v>
          </cell>
          <cell r="R120" t="str">
            <v>CCM Viet Nam</v>
          </cell>
        </row>
        <row r="121">
          <cell r="P121" t="str">
            <v>Yemen</v>
          </cell>
          <cell r="R121" t="str">
            <v>CCM Yemen</v>
          </cell>
        </row>
        <row r="122">
          <cell r="P122" t="str">
            <v>Zambia</v>
          </cell>
          <cell r="R122" t="str">
            <v>CCM Zambia</v>
          </cell>
        </row>
        <row r="123">
          <cell r="P123" t="str">
            <v>Zanzibar</v>
          </cell>
          <cell r="R123" t="str">
            <v>CCM Zanzibar</v>
          </cell>
        </row>
        <row r="124">
          <cell r="P124" t="str">
            <v>Zimbabwe</v>
          </cell>
          <cell r="R124" t="str">
            <v>CCM Zimbabwe</v>
          </cell>
        </row>
        <row r="125">
          <cell r="P125" t="str">
            <v>Multicountry Africa (Lubombo - RMCC)</v>
          </cell>
          <cell r="R125" t="str">
            <v>RCM Multicountry Africa (Lubombo - RMCC)</v>
          </cell>
        </row>
        <row r="126">
          <cell r="P126" t="str">
            <v>Multicountry Americas (ANDEAN)</v>
          </cell>
          <cell r="R126" t="str">
            <v>RCM Multicountry Americas (ANDEAN)</v>
          </cell>
        </row>
        <row r="127">
          <cell r="P127" t="str">
            <v>Multicountry Americas (CARICOM - PANCAP)</v>
          </cell>
          <cell r="R127" t="str">
            <v>RCM Multicountry Americas (CARICOM - PANCAP)</v>
          </cell>
        </row>
        <row r="128">
          <cell r="P128" t="str">
            <v>Multicountry Americas (MESO)</v>
          </cell>
          <cell r="R128" t="str">
            <v>RCM Multicountry Americas (MESO)</v>
          </cell>
        </row>
        <row r="129">
          <cell r="P129" t="str">
            <v>Multicountry Americas (OECS)</v>
          </cell>
          <cell r="R129" t="str">
            <v>RCM Multicountry Americas (OECS)</v>
          </cell>
        </row>
        <row r="130">
          <cell r="P130" t="str">
            <v>Multicountry Americas (REDCA+)</v>
          </cell>
          <cell r="R130" t="str">
            <v>RCM Multicountry Americas (REDCA+)</v>
          </cell>
        </row>
        <row r="131">
          <cell r="P131" t="str">
            <v>Multicountry Western Pacific</v>
          </cell>
          <cell r="R131" t="str">
            <v>RCM Multicountry Western Pacific</v>
          </cell>
        </row>
        <row r="132">
          <cell r="P132" t="str">
            <v>BRCE</v>
          </cell>
          <cell r="R132" t="str">
            <v>Sub-CCM BRCE</v>
          </cell>
        </row>
        <row r="133">
          <cell r="P133" t="str">
            <v>Chuya Region</v>
          </cell>
          <cell r="R133" t="str">
            <v>Sub-CCM Chuya Region</v>
          </cell>
        </row>
        <row r="134">
          <cell r="P134" t="str">
            <v>Sudan Southern Sector</v>
          </cell>
          <cell r="R134" t="str">
            <v>Sub-CCM Sudan Southern Sector</v>
          </cell>
        </row>
        <row r="135">
          <cell r="P135" t="str">
            <v>Tomsk-Oblast</v>
          </cell>
          <cell r="R135" t="str">
            <v>Sub-CCM Tomsk-Oblast</v>
          </cell>
        </row>
        <row r="136">
          <cell r="P136" t="str">
            <v>Malaysia</v>
          </cell>
          <cell r="R136" t="str">
            <v>CCM Malaysia</v>
          </cell>
        </row>
      </sheetData>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etup"/>
      <sheetName val="Cost Inputs"/>
      <sheetName val="CatCmp"/>
      <sheetName val="ModInCmp"/>
      <sheetName val="Budget Lines"/>
      <sheetName val="Instructions"/>
      <sheetName val="Detailed Budget"/>
      <sheetName val="Assumptions TRC"/>
      <sheetName val="Assumptions HR"/>
      <sheetName val="Assumptions Other"/>
      <sheetName val="Budget Summary"/>
      <sheetName val="Rank unique Mod-Int-PR"/>
      <sheetName val="Concept Note Module Budget"/>
      <sheetName val="Country"/>
      <sheetName val="Recipient"/>
      <sheetName val="Currencies"/>
      <sheetName val="CatModules"/>
      <sheetName val="CatInt"/>
      <sheetName val="ActivityConcat"/>
      <sheetName val="Translations"/>
      <sheetName val="CostGroup"/>
      <sheetName val="Sheet2"/>
      <sheetName val="CoverSheet"/>
      <sheetName val="Decaissement total"/>
      <sheetName val="Dep Entité"/>
      <sheetName val="Avances"/>
      <sheetName val="NFM FM TB"/>
      <sheetName val="Dep module"/>
      <sheetName val="Dep catégories"/>
      <sheetName val="Engagements"/>
      <sheetName val="Compte banque jui15-déc15"/>
      <sheetName val="Frais bancaires-com Sof"/>
      <sheetName val="Impact Outcome Indicators_1A"/>
      <sheetName val="Data"/>
      <sheetName val="ImpactOutcomeDisaggData"/>
      <sheetName val="Disaggregation_1A"/>
      <sheetName val="Impactoutcome"/>
      <sheetName val="Coverage Indicators_1B"/>
      <sheetName val="Coverage Indicators"/>
      <sheetName val="Disaggregation_1B"/>
      <sheetName val="CoverageDisaggregationData"/>
      <sheetName val="WPTM_1C"/>
      <sheetName val="Intervention By Modules old"/>
      <sheetName val="Intervention By Modules"/>
      <sheetName val="PR Cash Reconciliation_2A,B,C"/>
      <sheetName val="SR_Cash Reconciliation_2D"/>
      <sheetName val="Budget Variance_2E"/>
      <sheetName val="Procurement_3"/>
      <sheetName val="Grant Management_4"/>
      <sheetName val="PR-LFA Evaluation_5"/>
      <sheetName val="LFA_Findings&amp;Recommendations_6"/>
      <sheetName val="PR AFR_7A"/>
      <sheetName val="LFA AFR_7B"/>
      <sheetName val="Annual Cash Forecast_8A"/>
      <sheetName val=" Request and Recommendation_8B"/>
      <sheetName val="PR Authorization_9A"/>
      <sheetName val="LFA Authorization_9B"/>
      <sheetName val="PR_Disbursement Request_7"/>
      <sheetName val="Modules"/>
      <sheetName val="Sheet3"/>
      <sheetName val="Checklist"/>
      <sheetName val="Memo HIV"/>
      <sheetName val="Memo TB"/>
      <sheetName val="Memo Malaria"/>
      <sheetName val="Detailed_Budget"/>
      <sheetName val="Assumptions_TRC"/>
      <sheetName val="Assumptions_HR"/>
      <sheetName val="Assumptions_Other"/>
      <sheetName val="Budget_Summary"/>
      <sheetName val="Rank_unique_Mod-Int-PR"/>
      <sheetName val="Concept_Note_Module_Budget"/>
      <sheetName val="Budget_Lines"/>
      <sheetName val="Cost_Inputs"/>
      <sheetName val="Detailed_Budget2"/>
      <sheetName val="Assumptions_TRC2"/>
      <sheetName val="Assumptions_HR2"/>
      <sheetName val="Assumptions_Other2"/>
      <sheetName val="Budget_Summary2"/>
      <sheetName val="Rank_unique_Mod-Int-PR2"/>
      <sheetName val="Concept_Note_Module_Budget2"/>
      <sheetName val="Budget_Lines2"/>
      <sheetName val="Cost_Inputs2"/>
      <sheetName val="Detailed_Budget1"/>
      <sheetName val="Assumptions_TRC1"/>
      <sheetName val="Assumptions_HR1"/>
      <sheetName val="Assumptions_Other1"/>
      <sheetName val="Budget_Summary1"/>
      <sheetName val="Rank_unique_Mod-Int-PR1"/>
      <sheetName val="Concept_Note_Module_Budget1"/>
      <sheetName val="Budget_Lines1"/>
      <sheetName val="Cost_Inputs1"/>
      <sheetName val="MTL$-INTER"/>
      <sheetName val="Range Page"/>
      <sheetName val="Chg log"/>
      <sheetName val="TRC-PIVOT"/>
      <sheetName val="Budget Summary En"/>
      <sheetName val="Summary by Intervention"/>
      <sheetName val="Summary by Cost Input"/>
      <sheetName val="Free sheet-enter what you need"/>
      <sheetName val="Free pivot table"/>
      <sheetName val="Decaissement_total"/>
      <sheetName val="Dep_Entité"/>
      <sheetName val="NFM_FM_TB"/>
      <sheetName val="Dep_module"/>
      <sheetName val="Dep_catégories"/>
      <sheetName val="Compte_banque_jui15-déc15"/>
      <sheetName val="Frais_bancaires-com_Sof"/>
      <sheetName val="Impact_Outcome_Indicators_1A"/>
      <sheetName val="Coverage_Indicators_1B"/>
      <sheetName val="Coverage_Indicators"/>
      <sheetName val="Intervention_By_Modules_old"/>
      <sheetName val="Intervention_By_Modules"/>
      <sheetName val="PR_Cash_Reconciliation_2A,B,C"/>
      <sheetName val="SR_Cash_Reconciliation_2D"/>
      <sheetName val="Budget_Variance_2E"/>
      <sheetName val="Grant_Management_4"/>
      <sheetName val="PR-LFA_Evaluation_5"/>
      <sheetName val="PR_AFR_7A"/>
      <sheetName val="LFA_AFR_7B"/>
      <sheetName val="Annual_Cash_Forecast_8A"/>
      <sheetName val="_Request_and_Recommendation_8B"/>
      <sheetName val="PR_Authorization_9A"/>
      <sheetName val="LFA_Authorization_9B"/>
      <sheetName val="PR_Disbursement_Request_7"/>
      <sheetName val="Memo_HIV"/>
      <sheetName val="Memo_TB"/>
      <sheetName val="Memo_Malaria"/>
      <sheetName val="Grants"/>
      <sheetName val="Lists"/>
      <sheetName val="Detailed_Budget5"/>
      <sheetName val="Assumptions_TRC5"/>
      <sheetName val="Assumptions_HR5"/>
      <sheetName val="Assumptions_Other5"/>
      <sheetName val="Budget_Summary5"/>
      <sheetName val="Rank_unique_Mod-Int-PR5"/>
      <sheetName val="Concept_Note_Module_Budget5"/>
      <sheetName val="Budget_Lines5"/>
      <sheetName val="Cost_Inputs5"/>
      <sheetName val="Decaissement_total2"/>
      <sheetName val="Dep_Entité2"/>
      <sheetName val="NFM_FM_TB2"/>
      <sheetName val="Dep_module2"/>
      <sheetName val="Dep_catégories2"/>
      <sheetName val="Compte_banque_jui15-déc152"/>
      <sheetName val="Frais_bancaires-com_Sof2"/>
      <sheetName val="Impact_Outcome_Indicators_1A2"/>
      <sheetName val="Coverage_Indicators_1B2"/>
      <sheetName val="Coverage_Indicators2"/>
      <sheetName val="Intervention_By_Modules_old2"/>
      <sheetName val="Intervention_By_Modules2"/>
      <sheetName val="PR_Cash_Reconciliation_2A,B,C2"/>
      <sheetName val="SR_Cash_Reconciliation_2D2"/>
      <sheetName val="Budget_Variance_2E2"/>
      <sheetName val="Grant_Management_42"/>
      <sheetName val="PR-LFA_Evaluation_52"/>
      <sheetName val="PR_AFR_7A2"/>
      <sheetName val="LFA_AFR_7B2"/>
      <sheetName val="Annual_Cash_Forecast_8A2"/>
      <sheetName val="_Request_and_Recommendation_8B2"/>
      <sheetName val="PR_Authorization_9A2"/>
      <sheetName val="LFA_Authorization_9B2"/>
      <sheetName val="PR_Disbursement_Request_72"/>
      <sheetName val="Memo_HIV2"/>
      <sheetName val="Memo_TB2"/>
      <sheetName val="Memo_Malaria2"/>
      <sheetName val="Chg_log2"/>
      <sheetName val="Budget_Summary_En2"/>
      <sheetName val="Summary_by_Intervention2"/>
      <sheetName val="Summary_by_Cost_Input2"/>
      <sheetName val="Free_sheet-enter_what_you_need2"/>
      <sheetName val="Free_pivot_table2"/>
      <sheetName val="Detailed_Budget3"/>
      <sheetName val="Assumptions_TRC3"/>
      <sheetName val="Assumptions_HR3"/>
      <sheetName val="Assumptions_Other3"/>
      <sheetName val="Budget_Summary3"/>
      <sheetName val="Rank_unique_Mod-Int-PR3"/>
      <sheetName val="Concept_Note_Module_Budget3"/>
      <sheetName val="Budget_Lines3"/>
      <sheetName val="Cost_Inputs3"/>
      <sheetName val="Chg_log"/>
      <sheetName val="Budget_Summary_En"/>
      <sheetName val="Summary_by_Intervention"/>
      <sheetName val="Summary_by_Cost_Input"/>
      <sheetName val="Free_sheet-enter_what_you_need"/>
      <sheetName val="Free_pivot_table"/>
      <sheetName val="Detailed_Budget4"/>
      <sheetName val="Assumptions_TRC4"/>
      <sheetName val="Assumptions_HR4"/>
      <sheetName val="Assumptions_Other4"/>
      <sheetName val="Budget_Summary4"/>
      <sheetName val="Rank_unique_Mod-Int-PR4"/>
      <sheetName val="Concept_Note_Module_Budget4"/>
      <sheetName val="Budget_Lines4"/>
      <sheetName val="Cost_Inputs4"/>
      <sheetName val="Decaissement_total1"/>
      <sheetName val="Dep_Entité1"/>
      <sheetName val="NFM_FM_TB1"/>
      <sheetName val="Dep_module1"/>
      <sheetName val="Dep_catégories1"/>
      <sheetName val="Compte_banque_jui15-déc151"/>
      <sheetName val="Frais_bancaires-com_Sof1"/>
      <sheetName val="Impact_Outcome_Indicators_1A1"/>
      <sheetName val="Coverage_Indicators_1B1"/>
      <sheetName val="Coverage_Indicators1"/>
      <sheetName val="Intervention_By_Modules_old1"/>
      <sheetName val="Intervention_By_Modules1"/>
      <sheetName val="PR_Cash_Reconciliation_2A,B,C1"/>
      <sheetName val="SR_Cash_Reconciliation_2D1"/>
      <sheetName val="Budget_Variance_2E1"/>
      <sheetName val="Grant_Management_41"/>
      <sheetName val="PR-LFA_Evaluation_51"/>
      <sheetName val="PR_AFR_7A1"/>
      <sheetName val="LFA_AFR_7B1"/>
      <sheetName val="Annual_Cash_Forecast_8A1"/>
      <sheetName val="_Request_and_Recommendation_8B1"/>
      <sheetName val="PR_Authorization_9A1"/>
      <sheetName val="LFA_Authorization_9B1"/>
      <sheetName val="PR_Disbursement_Request_71"/>
      <sheetName val="Memo_HIV1"/>
      <sheetName val="Memo_TB1"/>
      <sheetName val="Memo_Malaria1"/>
      <sheetName val="Chg_log1"/>
      <sheetName val="Budget_Summary_En1"/>
      <sheetName val="Summary_by_Intervention1"/>
      <sheetName val="Summary_by_Cost_Input1"/>
      <sheetName val="Free_sheet-enter_what_you_need1"/>
      <sheetName val="Free_pivot_table1"/>
    </sheetNames>
    <sheetDataSet>
      <sheetData sheetId="0" refreshError="1">
        <row r="1">
          <cell r="A1" t="str">
            <v>CatModRowNbr</v>
          </cell>
        </row>
        <row r="2">
          <cell r="A2" t="str">
            <v>Detailed workings</v>
          </cell>
        </row>
        <row r="3">
          <cell r="A3" t="str">
            <v>Historical cost</v>
          </cell>
        </row>
        <row r="4">
          <cell r="A4" t="str">
            <v>Quote from supplier</v>
          </cell>
        </row>
        <row r="5">
          <cell r="A5" t="str">
            <v>Recent invoice</v>
          </cell>
        </row>
        <row r="6">
          <cell r="A6" t="str">
            <v>PSM Products &amp; Costs</v>
          </cell>
        </row>
      </sheetData>
      <sheetData sheetId="1" refreshError="1">
        <row r="4">
          <cell r="B4" t="str">
            <v>Malaria</v>
          </cell>
        </row>
        <row r="10">
          <cell r="B10" t="str">
            <v>EUR</v>
          </cell>
        </row>
        <row r="11">
          <cell r="B11" t="str">
            <v>XOF</v>
          </cell>
        </row>
        <row r="12">
          <cell r="B12" t="str">
            <v>USD</v>
          </cell>
        </row>
      </sheetData>
      <sheetData sheetId="2" refreshError="1">
        <row r="1">
          <cell r="A1" t="str">
            <v>ID</v>
          </cell>
        </row>
        <row r="2">
          <cell r="S2">
            <v>46</v>
          </cell>
        </row>
        <row r="3">
          <cell r="N3" t="str">
            <v>1.1 Salaries - program management</v>
          </cell>
        </row>
      </sheetData>
      <sheetData sheetId="3" refreshError="1">
        <row r="1">
          <cell r="C1" t="str">
            <v>Label</v>
          </cell>
          <cell r="D1" t="str">
            <v>Component en</v>
          </cell>
          <cell r="E1" t="str">
            <v>Component fr</v>
          </cell>
          <cell r="F1" t="str">
            <v>Component es</v>
          </cell>
          <cell r="G1" t="str">
            <v>Component ru</v>
          </cell>
          <cell r="H1" t="str">
            <v>Cost Input</v>
          </cell>
        </row>
        <row r="2">
          <cell r="C2" t="str">
            <v>HIV/AIDS</v>
          </cell>
          <cell r="D2" t="str">
            <v>HIV/AIDS</v>
          </cell>
          <cell r="E2" t="str">
            <v>VIH/SIDA</v>
          </cell>
          <cell r="F2" t="str">
            <v>VIH/SIDA</v>
          </cell>
          <cell r="G2" t="str">
            <v>ВИЧ/СПИД</v>
          </cell>
          <cell r="H2">
            <v>0</v>
          </cell>
        </row>
        <row r="3">
          <cell r="C3" t="str">
            <v>Tuberculosis</v>
          </cell>
          <cell r="D3" t="str">
            <v>Tuberculosis</v>
          </cell>
          <cell r="E3" t="str">
            <v>Tuberculose</v>
          </cell>
          <cell r="F3" t="str">
            <v>Tuberculosis</v>
          </cell>
          <cell r="G3" t="str">
            <v>Туберкулез</v>
          </cell>
          <cell r="H3">
            <v>1</v>
          </cell>
        </row>
        <row r="4">
          <cell r="C4" t="str">
            <v>Malaria</v>
          </cell>
          <cell r="D4" t="str">
            <v>Malaria</v>
          </cell>
          <cell r="E4" t="str">
            <v>Paludisme</v>
          </cell>
          <cell r="F4" t="str">
            <v>Malaria</v>
          </cell>
          <cell r="G4" t="str">
            <v>Малярия</v>
          </cell>
          <cell r="H4">
            <v>2</v>
          </cell>
        </row>
        <row r="5">
          <cell r="C5" t="str">
            <v>HIV/TB</v>
          </cell>
          <cell r="D5" t="str">
            <v>HIV/TB</v>
          </cell>
          <cell r="E5" t="str">
            <v>VIH/TB</v>
          </cell>
          <cell r="F5" t="str">
            <v>VIH/TB</v>
          </cell>
          <cell r="G5" t="str">
            <v>ВИЧ/TБ</v>
          </cell>
          <cell r="H5">
            <v>3</v>
          </cell>
        </row>
        <row r="6">
          <cell r="C6" t="str">
            <v>HSS</v>
          </cell>
          <cell r="D6" t="str">
            <v>HSS</v>
          </cell>
          <cell r="E6" t="str">
            <v>RSS</v>
          </cell>
          <cell r="F6" t="str">
            <v>FSS</v>
          </cell>
          <cell r="G6" t="str">
            <v>УСЗ</v>
          </cell>
          <cell r="H6">
            <v>4</v>
          </cell>
        </row>
      </sheetData>
      <sheetData sheetId="4" refreshError="1">
        <row r="1">
          <cell r="A1" t="str">
            <v>CatModRowNbr</v>
          </cell>
        </row>
        <row r="2">
          <cell r="A2">
            <v>13</v>
          </cell>
          <cell r="C2" t="str">
            <v>Vector control</v>
          </cell>
        </row>
        <row r="3">
          <cell r="A3">
            <v>14</v>
          </cell>
        </row>
        <row r="4">
          <cell r="A4">
            <v>15</v>
          </cell>
        </row>
        <row r="5">
          <cell r="A5">
            <v>16</v>
          </cell>
        </row>
        <row r="6">
          <cell r="A6">
            <v>17</v>
          </cell>
        </row>
        <row r="7">
          <cell r="A7">
            <v>18</v>
          </cell>
        </row>
        <row r="8">
          <cell r="A8">
            <v>19</v>
          </cell>
        </row>
        <row r="9">
          <cell r="A9">
            <v>20</v>
          </cell>
        </row>
        <row r="10">
          <cell r="A10">
            <v>21</v>
          </cell>
        </row>
        <row r="11">
          <cell r="A11">
            <v>22</v>
          </cell>
        </row>
        <row r="12">
          <cell r="A12">
            <v>23</v>
          </cell>
        </row>
        <row r="13">
          <cell r="A13">
            <v>24</v>
          </cell>
        </row>
        <row r="14">
          <cell r="A14">
            <v>25</v>
          </cell>
        </row>
        <row r="15">
          <cell r="A15">
            <v>26</v>
          </cell>
        </row>
        <row r="16">
          <cell r="A16">
            <v>27</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sheetData>
      <sheetData sheetId="5" refreshError="1">
        <row r="2">
          <cell r="J2" t="str">
            <v>PSI</v>
          </cell>
        </row>
        <row r="3">
          <cell r="J3" t="str">
            <v>PNLP</v>
          </cell>
        </row>
        <row r="4">
          <cell r="J4" t="str">
            <v>MRTC</v>
          </cell>
        </row>
        <row r="5">
          <cell r="J5">
            <v>0</v>
          </cell>
        </row>
        <row r="6">
          <cell r="J6">
            <v>0</v>
          </cell>
        </row>
        <row r="7">
          <cell r="J7">
            <v>0</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sheetData>
      <sheetData sheetId="6" refreshError="1"/>
      <sheetData sheetId="7">
        <row r="2">
          <cell r="S2">
            <v>46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J2" t="str">
            <v>PSI</v>
          </cell>
        </row>
      </sheetData>
      <sheetData sheetId="18">
        <row r="1">
          <cell r="C1">
            <v>0</v>
          </cell>
        </row>
      </sheetData>
      <sheetData sheetId="19" refreshError="1"/>
      <sheetData sheetId="20">
        <row r="1">
          <cell r="A1" t="str">
            <v>ID</v>
          </cell>
        </row>
      </sheetData>
      <sheetData sheetId="21">
        <row r="1">
          <cell r="A1" t="str">
            <v>ID</v>
          </cell>
        </row>
      </sheetData>
      <sheetData sheetId="22" refreshError="1"/>
      <sheetData sheetId="23">
        <row r="4">
          <cell r="B4">
            <v>0</v>
          </cell>
        </row>
      </sheetData>
      <sheetData sheetId="24">
        <row r="4">
          <cell r="B4">
            <v>0</v>
          </cell>
        </row>
      </sheetData>
      <sheetData sheetId="25">
        <row r="4">
          <cell r="B4">
            <v>0</v>
          </cell>
        </row>
      </sheetData>
      <sheetData sheetId="26">
        <row r="4">
          <cell r="B4">
            <v>0</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ow r="2">
          <cell r="S2">
            <v>46</v>
          </cell>
        </row>
      </sheetData>
      <sheetData sheetId="66"/>
      <sheetData sheetId="67"/>
      <sheetData sheetId="68"/>
      <sheetData sheetId="69"/>
      <sheetData sheetId="70"/>
      <sheetData sheetId="71"/>
      <sheetData sheetId="72">
        <row r="2">
          <cell r="J2" t="str">
            <v>PSI</v>
          </cell>
        </row>
      </sheetData>
      <sheetData sheetId="73">
        <row r="1">
          <cell r="A1" t="str">
            <v>ID</v>
          </cell>
        </row>
      </sheetData>
      <sheetData sheetId="74"/>
      <sheetData sheetId="75"/>
      <sheetData sheetId="76"/>
      <sheetData sheetId="77"/>
      <sheetData sheetId="78"/>
      <sheetData sheetId="79"/>
      <sheetData sheetId="80"/>
      <sheetData sheetId="81">
        <row r="2">
          <cell r="J2" t="str">
            <v>PSI</v>
          </cell>
        </row>
      </sheetData>
      <sheetData sheetId="82">
        <row r="2">
          <cell r="S2">
            <v>46</v>
          </cell>
        </row>
      </sheetData>
      <sheetData sheetId="83"/>
      <sheetData sheetId="84"/>
      <sheetData sheetId="85"/>
      <sheetData sheetId="86"/>
      <sheetData sheetId="87"/>
      <sheetData sheetId="88"/>
      <sheetData sheetId="89"/>
      <sheetData sheetId="90">
        <row r="2">
          <cell r="J2" t="str">
            <v>PSI</v>
          </cell>
        </row>
      </sheetData>
      <sheetData sheetId="91">
        <row r="2">
          <cell r="S2">
            <v>46</v>
          </cell>
        </row>
      </sheetData>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ow r="4">
          <cell r="B4">
            <v>0</v>
          </cell>
        </row>
      </sheetData>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ow r="2">
          <cell r="S2">
            <v>46</v>
          </cell>
        </row>
      </sheetData>
      <sheetData sheetId="131"/>
      <sheetData sheetId="132"/>
      <sheetData sheetId="133"/>
      <sheetData sheetId="134"/>
      <sheetData sheetId="135"/>
      <sheetData sheetId="136"/>
      <sheetData sheetId="137">
        <row r="2">
          <cell r="J2" t="str">
            <v>PSI</v>
          </cell>
        </row>
      </sheetData>
      <sheetData sheetId="138">
        <row r="1">
          <cell r="A1" t="str">
            <v>ID</v>
          </cell>
        </row>
      </sheetData>
      <sheetData sheetId="139">
        <row r="4">
          <cell r="B4">
            <v>0</v>
          </cell>
        </row>
      </sheetData>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row r="2">
          <cell r="S2">
            <v>46</v>
          </cell>
        </row>
      </sheetData>
      <sheetData sheetId="173"/>
      <sheetData sheetId="174"/>
      <sheetData sheetId="175"/>
      <sheetData sheetId="176"/>
      <sheetData sheetId="177"/>
      <sheetData sheetId="178"/>
      <sheetData sheetId="179">
        <row r="2">
          <cell r="J2" t="str">
            <v>PSI</v>
          </cell>
        </row>
      </sheetData>
      <sheetData sheetId="180">
        <row r="1">
          <cell r="A1" t="str">
            <v>ID</v>
          </cell>
        </row>
      </sheetData>
      <sheetData sheetId="181"/>
      <sheetData sheetId="182"/>
      <sheetData sheetId="183"/>
      <sheetData sheetId="184"/>
      <sheetData sheetId="185"/>
      <sheetData sheetId="186"/>
      <sheetData sheetId="187">
        <row r="2">
          <cell r="S2">
            <v>46</v>
          </cell>
        </row>
      </sheetData>
      <sheetData sheetId="188"/>
      <sheetData sheetId="189"/>
      <sheetData sheetId="190"/>
      <sheetData sheetId="191"/>
      <sheetData sheetId="192"/>
      <sheetData sheetId="193"/>
      <sheetData sheetId="194">
        <row r="2">
          <cell r="J2" t="str">
            <v>PSI</v>
          </cell>
        </row>
      </sheetData>
      <sheetData sheetId="195">
        <row r="1">
          <cell r="A1" t="str">
            <v>ID</v>
          </cell>
        </row>
      </sheetData>
      <sheetData sheetId="196">
        <row r="4">
          <cell r="B4">
            <v>0</v>
          </cell>
        </row>
      </sheetData>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Sheet"/>
      <sheetName val="Data"/>
      <sheetName val="Impact Outcome Indicators_1A"/>
      <sheetName val="Coverage Indicators_1B"/>
      <sheetName val="ImpactOutcomeDisaggData"/>
      <sheetName val="Impactoutcome"/>
      <sheetName val="Coverage Indicators"/>
      <sheetName val="CoverageDisaggregationData"/>
      <sheetName val="WPTM_1C"/>
      <sheetName val="Intervention By Modules old"/>
      <sheetName val="Intervention By Modules"/>
      <sheetName val="PR Cash Reconciliation_2A,B,C"/>
      <sheetName val="SR_Cash Reconciliation_2D"/>
      <sheetName val="Budget Variance_2E"/>
      <sheetName val="Procurement_3"/>
      <sheetName val="Grant Management_4"/>
      <sheetName val="PR-LFA Evaluation_5"/>
      <sheetName val="LFA_Findings&amp;Recommendations_6"/>
      <sheetName val="PR EFR_7A"/>
      <sheetName val="LFA EFR_7B"/>
      <sheetName val="Annual Cash Forecast_8A"/>
      <sheetName val=" Request and Recommendation_8B"/>
      <sheetName val="PR Authorization_9A"/>
      <sheetName val="LFA Authorization_9B"/>
      <sheetName val="PR_Disbursement Request_7"/>
      <sheetName val="Modules"/>
      <sheetName val="EFR Data"/>
      <sheetName val="Checklist"/>
      <sheetName val="Memo HIV"/>
      <sheetName val="Memo TB"/>
      <sheetName val="Memo Malaria"/>
      <sheetName val="Impact_Outcome_Indicators_1A"/>
      <sheetName val="Coverage_Indicators_1B"/>
      <sheetName val="Coverage_Indicators"/>
      <sheetName val="Intervention_By_Modules_old"/>
      <sheetName val="Intervention_By_Modules"/>
      <sheetName val="PR_Cash_Reconciliation_2A,B,C"/>
      <sheetName val="SR_Cash_Reconciliation_2D"/>
      <sheetName val="Budget_Variance_2E"/>
      <sheetName val="Grant_Management_4"/>
      <sheetName val="PR-LFA_Evaluation_5"/>
      <sheetName val="PR_EFR_7A"/>
      <sheetName val="LFA_EFR_7B"/>
      <sheetName val="Annual_Cash_Forecast_8A"/>
      <sheetName val="_Request_and_Recommendation_8B"/>
      <sheetName val="PR_Authorization_9A"/>
      <sheetName val="LFA_Authorization_9B"/>
      <sheetName val="PR_Disbursement_Request_7"/>
      <sheetName val="EFR_Data"/>
      <sheetName val="Memo_HIV"/>
      <sheetName val="Memo_TB"/>
      <sheetName val="Memo_Malaria"/>
      <sheetName val="Impact_Outcome_Indicators_1A2"/>
      <sheetName val="Coverage_Indicators_1B2"/>
      <sheetName val="Coverage_Indicators2"/>
      <sheetName val="Intervention_By_Modules_old2"/>
      <sheetName val="Intervention_By_Modules2"/>
      <sheetName val="PR_Cash_Reconciliation_2A,B,C2"/>
      <sheetName val="SR_Cash_Reconciliation_2D2"/>
      <sheetName val="Budget_Variance_2E2"/>
      <sheetName val="Grant_Management_42"/>
      <sheetName val="PR-LFA_Evaluation_52"/>
      <sheetName val="PR_EFR_7A2"/>
      <sheetName val="LFA_EFR_7B2"/>
      <sheetName val="Annual_Cash_Forecast_8A2"/>
      <sheetName val="_Request_and_Recommendation_8B2"/>
      <sheetName val="PR_Authorization_9A2"/>
      <sheetName val="LFA_Authorization_9B2"/>
      <sheetName val="PR_Disbursement_Request_72"/>
      <sheetName val="EFR_Data2"/>
      <sheetName val="Memo_HIV2"/>
      <sheetName val="Memo_TB2"/>
      <sheetName val="Memo_Malaria2"/>
      <sheetName val="Impact_Outcome_Indicators_1A1"/>
      <sheetName val="Coverage_Indicators_1B1"/>
      <sheetName val="Coverage_Indicators1"/>
      <sheetName val="Intervention_By_Modules_old1"/>
      <sheetName val="Intervention_By_Modules1"/>
      <sheetName val="PR_Cash_Reconciliation_2A,B,C1"/>
      <sheetName val="SR_Cash_Reconciliation_2D1"/>
      <sheetName val="Budget_Variance_2E1"/>
      <sheetName val="Grant_Management_41"/>
      <sheetName val="PR-LFA_Evaluation_51"/>
      <sheetName val="PR_EFR_7A1"/>
      <sheetName val="LFA_EFR_7B1"/>
      <sheetName val="Annual_Cash_Forecast_8A1"/>
      <sheetName val="_Request_and_Recommendation_8B1"/>
      <sheetName val="PR_Authorization_9A1"/>
      <sheetName val="LFA_Authorization_9B1"/>
      <sheetName val="PR_Disbursement_Request_71"/>
      <sheetName val="EFR_Data1"/>
      <sheetName val="Memo_HIV1"/>
      <sheetName val="Memo_TB1"/>
      <sheetName val="Memo_Malaria1"/>
      <sheetName val="FORMULAGRAPHS"/>
    </sheetNames>
    <sheetDataSet>
      <sheetData sheetId="0"/>
      <sheetData sheetId="1">
        <row r="2">
          <cell r="I2" t="str">
            <v>Malaria</v>
          </cell>
        </row>
        <row r="3">
          <cell r="I3" t="str">
            <v>Tuberculosis</v>
          </cell>
        </row>
        <row r="4">
          <cell r="I4" t="str">
            <v>HIV/TB</v>
          </cell>
        </row>
        <row r="5">
          <cell r="I5" t="str">
            <v>HIV/AIDS</v>
          </cell>
        </row>
        <row r="6">
          <cell r="I6" t="str">
            <v>Health Systems Strengthening</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41">
          <cell r="A41" t="str">
            <v>Please Select…</v>
          </cell>
        </row>
        <row r="42">
          <cell r="A42" t="str">
            <v>FBO</v>
          </cell>
        </row>
        <row r="43">
          <cell r="A43" t="str">
            <v>NGO/CBO/Academic</v>
          </cell>
        </row>
        <row r="44">
          <cell r="A44" t="str">
            <v>Private Sector</v>
          </cell>
        </row>
        <row r="45">
          <cell r="A45" t="str">
            <v>Ministry Health (MoH)</v>
          </cell>
        </row>
        <row r="46">
          <cell r="A46" t="str">
            <v>Other Government</v>
          </cell>
        </row>
        <row r="47">
          <cell r="A47" t="str">
            <v>UNDP</v>
          </cell>
        </row>
        <row r="48">
          <cell r="A48" t="str">
            <v>Other Multilateral Organization</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41">
          <cell r="A41" t="str">
            <v>Please Select…</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ow r="41">
          <cell r="A41" t="str">
            <v>Please Select…</v>
          </cell>
        </row>
      </sheetData>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41">
          <cell r="A41" t="str">
            <v>Please Select…</v>
          </cell>
        </row>
      </sheetData>
      <sheetData sheetId="91"/>
      <sheetData sheetId="92"/>
      <sheetData sheetId="93"/>
      <sheetData sheetId="9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up"/>
      <sheetName val="Detailed Budget"/>
      <sheetName val="Assumptions TRC"/>
      <sheetName val="Assumptions HR"/>
      <sheetName val="Assumptions Other"/>
      <sheetName val="Budget Summary"/>
      <sheetName val="Rank unique Mod-Int-PR"/>
      <sheetName val="Concept Note Module Budget"/>
      <sheetName val="Country"/>
      <sheetName val="Recipient"/>
      <sheetName val="Currencies"/>
      <sheetName val="Assumptions"/>
      <sheetName val="CatCmp"/>
      <sheetName val="CatModules"/>
      <sheetName val="ModInCmp"/>
      <sheetName val="CatInt"/>
      <sheetName val="Budget Lines"/>
      <sheetName val="ActivityConcat"/>
      <sheetName val="Translations"/>
      <sheetName val="CostGroup"/>
      <sheetName val="Cost Inputs"/>
      <sheetName val="CoverSheet"/>
      <sheetName val="Decaissement total"/>
      <sheetName val="Dep Entité"/>
      <sheetName val="Avances"/>
      <sheetName val="NFM FM TB"/>
      <sheetName val="Dep module"/>
      <sheetName val="Dep catégories"/>
      <sheetName val="Engagements"/>
      <sheetName val="Compte banque jui15-déc15"/>
      <sheetName val="Frais bancaires-com Sof"/>
      <sheetName val="Impact Outcome Indicators_1A"/>
      <sheetName val="Data"/>
      <sheetName val="ImpactOutcomeDisaggData"/>
      <sheetName val="Disaggregation_1A"/>
      <sheetName val="Impactoutcome"/>
      <sheetName val="Coverage Indicators_1B"/>
      <sheetName val="Coverage Indicators"/>
      <sheetName val="Disaggregation_1B"/>
      <sheetName val="CoverageDisaggregationData"/>
      <sheetName val="WPTM_1C"/>
      <sheetName val="Intervention By Modules old"/>
      <sheetName val="Intervention By Modules"/>
      <sheetName val="PR Cash Reconciliation_2A,B,C"/>
      <sheetName val="SR_Cash Reconciliation_2D"/>
      <sheetName val="Budget Variance_2E"/>
      <sheetName val="Procurement_3"/>
      <sheetName val="Grant Management_4"/>
      <sheetName val="PR-LFA Evaluation_5"/>
      <sheetName val="LFA_Findings&amp;Recommendations_6"/>
      <sheetName val="PR AFR_7A"/>
      <sheetName val="LFA AFR_7B"/>
      <sheetName val="Annual Cash Forecast_8A"/>
      <sheetName val=" Request and Recommendation_8B"/>
      <sheetName val="PR Authorization_9A"/>
      <sheetName val="LFA Authorization_9B"/>
      <sheetName val="PR_Disbursement Request_7"/>
      <sheetName val="Modules"/>
      <sheetName val="Sheet3"/>
      <sheetName val="Checklist"/>
      <sheetName val="Memo HIV"/>
      <sheetName val="Memo TB"/>
      <sheetName val="Memo Malaria"/>
      <sheetName val="Sheet2"/>
      <sheetName val="Detailed_Budget"/>
      <sheetName val="Assumptions_TRC"/>
      <sheetName val="Assumptions_HR"/>
      <sheetName val="Assumptions_Other"/>
      <sheetName val="Budget_Summary"/>
      <sheetName val="Rank_unique_Mod-Int-PR"/>
      <sheetName val="Concept_Note_Module_Budget"/>
      <sheetName val="Budget_Lines"/>
      <sheetName val="Cost_Inputs"/>
      <sheetName val="Detailed_Budget2"/>
      <sheetName val="Assumptions_TRC2"/>
      <sheetName val="Assumptions_HR2"/>
      <sheetName val="Assumptions_Other2"/>
      <sheetName val="Budget_Summary2"/>
      <sheetName val="Rank_unique_Mod-Int-PR2"/>
      <sheetName val="Concept_Note_Module_Budget2"/>
      <sheetName val="Budget_Lines2"/>
      <sheetName val="Cost_Inputs2"/>
      <sheetName val="Detailed_Budget1"/>
      <sheetName val="Assumptions_TRC1"/>
      <sheetName val="Assumptions_HR1"/>
      <sheetName val="Assumptions_Other1"/>
      <sheetName val="Budget_Summary1"/>
      <sheetName val="Rank_unique_Mod-Int-PR1"/>
      <sheetName val="Concept_Note_Module_Budget1"/>
      <sheetName val="Budget_Lines1"/>
      <sheetName val="Cost_Inputs1"/>
      <sheetName val="MTL$-INTER"/>
      <sheetName val="Range Page"/>
      <sheetName val="Chg log"/>
      <sheetName val="TRC-PIVOT"/>
      <sheetName val="Budget Summary En"/>
      <sheetName val="Summary by Intervention"/>
      <sheetName val="Summary by Cost Input"/>
      <sheetName val="Free sheet-enter what you need"/>
      <sheetName val="Free pivot table"/>
      <sheetName val="Decaissement_total"/>
      <sheetName val="Dep_Entité"/>
      <sheetName val="NFM_FM_TB"/>
      <sheetName val="Dep_module"/>
      <sheetName val="Dep_catégories"/>
      <sheetName val="Compte_banque_jui15-déc15"/>
      <sheetName val="Frais_bancaires-com_Sof"/>
      <sheetName val="Impact_Outcome_Indicators_1A"/>
      <sheetName val="Coverage_Indicators_1B"/>
      <sheetName val="Coverage_Indicators"/>
      <sheetName val="Intervention_By_Modules_old"/>
      <sheetName val="Intervention_By_Modules"/>
      <sheetName val="PR_Cash_Reconciliation_2A,B,C"/>
      <sheetName val="SR_Cash_Reconciliation_2D"/>
      <sheetName val="Budget_Variance_2E"/>
      <sheetName val="Grant_Management_4"/>
      <sheetName val="PR-LFA_Evaluation_5"/>
      <sheetName val="PR_AFR_7A"/>
      <sheetName val="LFA_AFR_7B"/>
      <sheetName val="Annual_Cash_Forecast_8A"/>
      <sheetName val="_Request_and_Recommendation_8B"/>
      <sheetName val="PR_Authorization_9A"/>
      <sheetName val="LFA_Authorization_9B"/>
      <sheetName val="PR_Disbursement_Request_7"/>
      <sheetName val="Memo_HIV"/>
      <sheetName val="Memo_TB"/>
      <sheetName val="Memo_Malaria"/>
      <sheetName val="Grants"/>
      <sheetName val="Lists"/>
      <sheetName val="Detailed_Budget5"/>
      <sheetName val="Assumptions_TRC5"/>
      <sheetName val="Assumptions_HR5"/>
      <sheetName val="Assumptions_Other5"/>
      <sheetName val="Budget_Summary5"/>
      <sheetName val="Rank_unique_Mod-Int-PR5"/>
      <sheetName val="Concept_Note_Module_Budget5"/>
      <sheetName val="Budget_Lines5"/>
      <sheetName val="Cost_Inputs5"/>
      <sheetName val="Decaissement_total2"/>
      <sheetName val="Dep_Entité2"/>
      <sheetName val="NFM_FM_TB2"/>
      <sheetName val="Dep_module2"/>
      <sheetName val="Dep_catégories2"/>
      <sheetName val="Compte_banque_jui15-déc152"/>
      <sheetName val="Frais_bancaires-com_Sof2"/>
      <sheetName val="Impact_Outcome_Indicators_1A2"/>
      <sheetName val="Coverage_Indicators_1B2"/>
      <sheetName val="Coverage_Indicators2"/>
      <sheetName val="Intervention_By_Modules_old2"/>
      <sheetName val="Intervention_By_Modules2"/>
      <sheetName val="PR_Cash_Reconciliation_2A,B,C2"/>
      <sheetName val="SR_Cash_Reconciliation_2D2"/>
      <sheetName val="Budget_Variance_2E2"/>
      <sheetName val="Grant_Management_42"/>
      <sheetName val="PR-LFA_Evaluation_52"/>
      <sheetName val="PR_AFR_7A2"/>
      <sheetName val="LFA_AFR_7B2"/>
      <sheetName val="Annual_Cash_Forecast_8A2"/>
      <sheetName val="_Request_and_Recommendation_8B2"/>
      <sheetName val="PR_Authorization_9A2"/>
      <sheetName val="LFA_Authorization_9B2"/>
      <sheetName val="PR_Disbursement_Request_72"/>
      <sheetName val="Memo_HIV2"/>
      <sheetName val="Memo_TB2"/>
      <sheetName val="Memo_Malaria2"/>
      <sheetName val="Chg_log2"/>
      <sheetName val="Budget_Summary_En2"/>
      <sheetName val="Summary_by_Intervention2"/>
      <sheetName val="Summary_by_Cost_Input2"/>
      <sheetName val="Free_sheet-enter_what_you_need2"/>
      <sheetName val="Free_pivot_table2"/>
      <sheetName val="Detailed_Budget3"/>
      <sheetName val="Assumptions_TRC3"/>
      <sheetName val="Assumptions_HR3"/>
      <sheetName val="Assumptions_Other3"/>
      <sheetName val="Budget_Summary3"/>
      <sheetName val="Rank_unique_Mod-Int-PR3"/>
      <sheetName val="Concept_Note_Module_Budget3"/>
      <sheetName val="Budget_Lines3"/>
      <sheetName val="Cost_Inputs3"/>
      <sheetName val="Chg_log"/>
      <sheetName val="Budget_Summary_En"/>
      <sheetName val="Summary_by_Intervention"/>
      <sheetName val="Summary_by_Cost_Input"/>
      <sheetName val="Free_sheet-enter_what_you_need"/>
      <sheetName val="Free_pivot_table"/>
      <sheetName val="Detailed_Budget4"/>
      <sheetName val="Assumptions_TRC4"/>
      <sheetName val="Assumptions_HR4"/>
      <sheetName val="Assumptions_Other4"/>
      <sheetName val="Budget_Summary4"/>
      <sheetName val="Rank_unique_Mod-Int-PR4"/>
      <sheetName val="Concept_Note_Module_Budget4"/>
      <sheetName val="Budget_Lines4"/>
      <sheetName val="Cost_Inputs4"/>
      <sheetName val="Decaissement_total1"/>
      <sheetName val="Dep_Entité1"/>
      <sheetName val="NFM_FM_TB1"/>
      <sheetName val="Dep_module1"/>
      <sheetName val="Dep_catégories1"/>
      <sheetName val="Compte_banque_jui15-déc151"/>
      <sheetName val="Frais_bancaires-com_Sof1"/>
      <sheetName val="Impact_Outcome_Indicators_1A1"/>
      <sheetName val="Coverage_Indicators_1B1"/>
      <sheetName val="Coverage_Indicators1"/>
      <sheetName val="Intervention_By_Modules_old1"/>
      <sheetName val="Intervention_By_Modules1"/>
      <sheetName val="PR_Cash_Reconciliation_2A,B,C1"/>
      <sheetName val="SR_Cash_Reconciliation_2D1"/>
      <sheetName val="Budget_Variance_2E1"/>
      <sheetName val="Grant_Management_41"/>
      <sheetName val="PR-LFA_Evaluation_51"/>
      <sheetName val="PR_AFR_7A1"/>
      <sheetName val="LFA_AFR_7B1"/>
      <sheetName val="Annual_Cash_Forecast_8A1"/>
      <sheetName val="_Request_and_Recommendation_8B1"/>
      <sheetName val="PR_Authorization_9A1"/>
      <sheetName val="LFA_Authorization_9B1"/>
      <sheetName val="PR_Disbursement_Request_71"/>
      <sheetName val="Memo_HIV1"/>
      <sheetName val="Memo_TB1"/>
      <sheetName val="Memo_Malaria1"/>
      <sheetName val="Chg_log1"/>
      <sheetName val="Budget_Summary_En1"/>
      <sheetName val="Summary_by_Intervention1"/>
      <sheetName val="Summary_by_Cost_Input1"/>
      <sheetName val="Free_sheet-enter_what_you_need1"/>
      <sheetName val="Free_pivot_table1"/>
    </sheetNames>
    <sheetDataSet>
      <sheetData sheetId="0" refreshError="1"/>
      <sheetData sheetId="1">
        <row r="4">
          <cell r="B4" t="str">
            <v>Malaria</v>
          </cell>
        </row>
        <row r="10">
          <cell r="B10" t="str">
            <v>EUR</v>
          </cell>
        </row>
        <row r="11">
          <cell r="B11" t="str">
            <v>XOF</v>
          </cell>
        </row>
        <row r="12">
          <cell r="B12" t="str">
            <v>USD</v>
          </cell>
        </row>
      </sheetData>
      <sheetData sheetId="2">
        <row r="2">
          <cell r="S2">
            <v>46</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
          <cell r="A1" t="str">
            <v>CatModRowNbr</v>
          </cell>
        </row>
      </sheetData>
      <sheetData sheetId="13">
        <row r="1">
          <cell r="C1" t="str">
            <v>Label</v>
          </cell>
          <cell r="D1" t="str">
            <v>Component en</v>
          </cell>
          <cell r="E1" t="str">
            <v>Component fr</v>
          </cell>
          <cell r="F1" t="str">
            <v>Component es</v>
          </cell>
          <cell r="G1" t="str">
            <v>Component ru</v>
          </cell>
          <cell r="H1" t="str">
            <v>Cost Input</v>
          </cell>
        </row>
        <row r="2">
          <cell r="C2" t="str">
            <v>HIV/AIDS</v>
          </cell>
          <cell r="D2" t="str">
            <v>HIV/AIDS</v>
          </cell>
          <cell r="E2" t="str">
            <v>VIH/SIDA</v>
          </cell>
          <cell r="F2" t="str">
            <v>VIH/SIDA</v>
          </cell>
          <cell r="G2" t="str">
            <v>ВИЧ/СПИД</v>
          </cell>
          <cell r="H2">
            <v>0</v>
          </cell>
        </row>
        <row r="3">
          <cell r="C3" t="str">
            <v>Tuberculosis</v>
          </cell>
          <cell r="D3" t="str">
            <v>Tuberculosis</v>
          </cell>
          <cell r="E3" t="str">
            <v>Tuberculose</v>
          </cell>
          <cell r="F3" t="str">
            <v>Tuberculosis</v>
          </cell>
          <cell r="G3" t="str">
            <v>Туберкулез</v>
          </cell>
          <cell r="H3">
            <v>1</v>
          </cell>
        </row>
        <row r="4">
          <cell r="C4" t="str">
            <v>Malaria</v>
          </cell>
          <cell r="D4" t="str">
            <v>Malaria</v>
          </cell>
          <cell r="E4" t="str">
            <v>Paludisme</v>
          </cell>
          <cell r="F4" t="str">
            <v>Malaria</v>
          </cell>
          <cell r="G4" t="str">
            <v>Малярия</v>
          </cell>
          <cell r="H4">
            <v>2</v>
          </cell>
        </row>
        <row r="5">
          <cell r="C5" t="str">
            <v>HIV/TB</v>
          </cell>
          <cell r="D5" t="str">
            <v>HIV/TB</v>
          </cell>
          <cell r="E5" t="str">
            <v>VIH/TB</v>
          </cell>
          <cell r="F5" t="str">
            <v>VIH/TB</v>
          </cell>
          <cell r="G5" t="str">
            <v>ВИЧ/TБ</v>
          </cell>
          <cell r="H5">
            <v>3</v>
          </cell>
        </row>
        <row r="6">
          <cell r="C6" t="str">
            <v>HSS</v>
          </cell>
          <cell r="D6" t="str">
            <v>HSS</v>
          </cell>
          <cell r="E6" t="str">
            <v>RSS</v>
          </cell>
          <cell r="F6" t="str">
            <v>FSS</v>
          </cell>
          <cell r="G6" t="str">
            <v>УСЗ</v>
          </cell>
          <cell r="H6">
            <v>4</v>
          </cell>
        </row>
      </sheetData>
      <sheetData sheetId="14">
        <row r="2">
          <cell r="J2" t="str">
            <v>PSI</v>
          </cell>
        </row>
      </sheetData>
      <sheetData sheetId="15">
        <row r="1">
          <cell r="A1" t="str">
            <v>CatModRowNbr</v>
          </cell>
        </row>
        <row r="2">
          <cell r="A2">
            <v>13</v>
          </cell>
          <cell r="C2" t="str">
            <v>Vector control</v>
          </cell>
        </row>
        <row r="3">
          <cell r="A3">
            <v>14</v>
          </cell>
        </row>
        <row r="4">
          <cell r="A4">
            <v>15</v>
          </cell>
        </row>
        <row r="5">
          <cell r="A5">
            <v>16</v>
          </cell>
        </row>
        <row r="6">
          <cell r="A6">
            <v>17</v>
          </cell>
        </row>
        <row r="7">
          <cell r="A7">
            <v>18</v>
          </cell>
        </row>
        <row r="8">
          <cell r="A8">
            <v>19</v>
          </cell>
        </row>
        <row r="9">
          <cell r="A9">
            <v>20</v>
          </cell>
        </row>
        <row r="10">
          <cell r="A10">
            <v>21</v>
          </cell>
        </row>
        <row r="11">
          <cell r="A11">
            <v>22</v>
          </cell>
        </row>
        <row r="12">
          <cell r="A12">
            <v>23</v>
          </cell>
        </row>
        <row r="13">
          <cell r="A13">
            <v>24</v>
          </cell>
        </row>
        <row r="14">
          <cell r="A14">
            <v>25</v>
          </cell>
        </row>
        <row r="15">
          <cell r="A15">
            <v>26</v>
          </cell>
        </row>
        <row r="16">
          <cell r="A16">
            <v>27</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sheetData>
      <sheetData sheetId="16">
        <row r="1">
          <cell r="C1">
            <v>0</v>
          </cell>
        </row>
      </sheetData>
      <sheetData sheetId="17">
        <row r="2">
          <cell r="J2" t="str">
            <v>PSI</v>
          </cell>
        </row>
        <row r="3">
          <cell r="J3" t="str">
            <v>PNLP</v>
          </cell>
        </row>
        <row r="4">
          <cell r="J4" t="str">
            <v>MRTC</v>
          </cell>
        </row>
        <row r="5">
          <cell r="J5">
            <v>0</v>
          </cell>
        </row>
        <row r="6">
          <cell r="J6">
            <v>0</v>
          </cell>
        </row>
        <row r="7">
          <cell r="J7">
            <v>0</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sheetData>
      <sheetData sheetId="18" refreshError="1"/>
      <sheetData sheetId="19">
        <row r="1">
          <cell r="A1" t="str">
            <v>ID</v>
          </cell>
        </row>
      </sheetData>
      <sheetData sheetId="20">
        <row r="1">
          <cell r="A1" t="str">
            <v>ID</v>
          </cell>
        </row>
      </sheetData>
      <sheetData sheetId="21">
        <row r="1">
          <cell r="A1" t="str">
            <v>ID</v>
          </cell>
        </row>
        <row r="2">
          <cell r="S2">
            <v>46</v>
          </cell>
        </row>
        <row r="3">
          <cell r="N3" t="str">
            <v>1.1 Salaries - program management</v>
          </cell>
        </row>
      </sheetData>
      <sheetData sheetId="22">
        <row r="4">
          <cell r="B4">
            <v>0</v>
          </cell>
        </row>
      </sheetData>
      <sheetData sheetId="23">
        <row r="4">
          <cell r="B4">
            <v>0</v>
          </cell>
        </row>
      </sheetData>
      <sheetData sheetId="24">
        <row r="4">
          <cell r="B4">
            <v>0</v>
          </cell>
        </row>
      </sheetData>
      <sheetData sheetId="25">
        <row r="4">
          <cell r="B4">
            <v>0</v>
          </cell>
        </row>
      </sheetData>
      <sheetData sheetId="26">
        <row r="4">
          <cell r="B4">
            <v>0</v>
          </cell>
        </row>
      </sheetData>
      <sheetData sheetId="27"/>
      <sheetData sheetId="28"/>
      <sheetData sheetId="29"/>
      <sheetData sheetId="30">
        <row r="4">
          <cell r="B4">
            <v>0</v>
          </cell>
        </row>
      </sheetData>
      <sheetData sheetId="31">
        <row r="4">
          <cell r="B4">
            <v>0</v>
          </cell>
        </row>
      </sheetData>
      <sheetData sheetId="32">
        <row r="4">
          <cell r="B4">
            <v>0</v>
          </cell>
        </row>
      </sheetData>
      <sheetData sheetId="33"/>
      <sheetData sheetId="34"/>
      <sheetData sheetId="35"/>
      <sheetData sheetId="36">
        <row r="2">
          <cell r="S2">
            <v>46</v>
          </cell>
        </row>
      </sheetData>
      <sheetData sheetId="37"/>
      <sheetData sheetId="38"/>
      <sheetData sheetId="39"/>
      <sheetData sheetId="40"/>
      <sheetData sheetId="41"/>
      <sheetData sheetId="42"/>
      <sheetData sheetId="43">
        <row r="2">
          <cell r="J2" t="str">
            <v>PSI</v>
          </cell>
        </row>
      </sheetData>
      <sheetData sheetId="44">
        <row r="1">
          <cell r="A1" t="str">
            <v>ID</v>
          </cell>
        </row>
      </sheetData>
      <sheetData sheetId="45"/>
      <sheetData sheetId="46"/>
      <sheetData sheetId="47"/>
      <sheetData sheetId="48"/>
      <sheetData sheetId="49"/>
      <sheetData sheetId="50"/>
      <sheetData sheetId="51"/>
      <sheetData sheetId="52">
        <row r="2">
          <cell r="J2" t="str">
            <v>PSI</v>
          </cell>
        </row>
      </sheetData>
      <sheetData sheetId="53">
        <row r="2">
          <cell r="S2">
            <v>46</v>
          </cell>
        </row>
      </sheetData>
      <sheetData sheetId="54"/>
      <sheetData sheetId="55"/>
      <sheetData sheetId="56"/>
      <sheetData sheetId="57"/>
      <sheetData sheetId="58"/>
      <sheetData sheetId="59"/>
      <sheetData sheetId="60"/>
      <sheetData sheetId="61">
        <row r="2">
          <cell r="J2" t="str">
            <v>PSI</v>
          </cell>
        </row>
      </sheetData>
      <sheetData sheetId="62">
        <row r="2">
          <cell r="S2">
            <v>46</v>
          </cell>
        </row>
      </sheetData>
      <sheetData sheetId="63"/>
      <sheetData sheetId="64" refreshError="1"/>
      <sheetData sheetId="65">
        <row r="2">
          <cell r="S2">
            <v>46</v>
          </cell>
        </row>
      </sheetData>
      <sheetData sheetId="66">
        <row r="2">
          <cell r="S2">
            <v>46</v>
          </cell>
        </row>
      </sheetData>
      <sheetData sheetId="67">
        <row r="4">
          <cell r="B4">
            <v>0</v>
          </cell>
        </row>
      </sheetData>
      <sheetData sheetId="68"/>
      <sheetData sheetId="69"/>
      <sheetData sheetId="70"/>
      <sheetData sheetId="71"/>
      <sheetData sheetId="72">
        <row r="2">
          <cell r="J2" t="str">
            <v>PSI</v>
          </cell>
        </row>
      </sheetData>
      <sheetData sheetId="73">
        <row r="1">
          <cell r="A1" t="str">
            <v>ID</v>
          </cell>
        </row>
      </sheetData>
      <sheetData sheetId="74">
        <row r="1">
          <cell r="A1" t="str">
            <v>ID</v>
          </cell>
        </row>
      </sheetData>
      <sheetData sheetId="75"/>
      <sheetData sheetId="76"/>
      <sheetData sheetId="77"/>
      <sheetData sheetId="78"/>
      <sheetData sheetId="79"/>
      <sheetData sheetId="80"/>
      <sheetData sheetId="81">
        <row r="2">
          <cell r="J2" t="str">
            <v>PSI</v>
          </cell>
        </row>
      </sheetData>
      <sheetData sheetId="82">
        <row r="2">
          <cell r="J2" t="str">
            <v>PSI</v>
          </cell>
        </row>
      </sheetData>
      <sheetData sheetId="83">
        <row r="2">
          <cell r="S2">
            <v>46</v>
          </cell>
        </row>
      </sheetData>
      <sheetData sheetId="84"/>
      <sheetData sheetId="85"/>
      <sheetData sheetId="86"/>
      <sheetData sheetId="87"/>
      <sheetData sheetId="88"/>
      <sheetData sheetId="89"/>
      <sheetData sheetId="90">
        <row r="2">
          <cell r="J2" t="str">
            <v>PSI</v>
          </cell>
        </row>
      </sheetData>
      <sheetData sheetId="91">
        <row r="2">
          <cell r="J2" t="str">
            <v>PSI</v>
          </cell>
        </row>
      </sheetData>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ow r="4">
          <cell r="B4">
            <v>0</v>
          </cell>
        </row>
      </sheetData>
      <sheetData sheetId="102"/>
      <sheetData sheetId="103">
        <row r="4">
          <cell r="B4">
            <v>0</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ow r="2">
          <cell r="S2">
            <v>46</v>
          </cell>
        </row>
      </sheetData>
      <sheetData sheetId="131"/>
      <sheetData sheetId="132"/>
      <sheetData sheetId="133"/>
      <sheetData sheetId="134"/>
      <sheetData sheetId="135"/>
      <sheetData sheetId="136"/>
      <sheetData sheetId="137">
        <row r="2">
          <cell r="J2" t="str">
            <v>PSI</v>
          </cell>
        </row>
      </sheetData>
      <sheetData sheetId="138">
        <row r="1">
          <cell r="A1" t="str">
            <v>ID</v>
          </cell>
        </row>
      </sheetData>
      <sheetData sheetId="139">
        <row r="4">
          <cell r="B4">
            <v>0</v>
          </cell>
        </row>
      </sheetData>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row r="2">
          <cell r="S2">
            <v>46</v>
          </cell>
        </row>
      </sheetData>
      <sheetData sheetId="173"/>
      <sheetData sheetId="174"/>
      <sheetData sheetId="175"/>
      <sheetData sheetId="176"/>
      <sheetData sheetId="177"/>
      <sheetData sheetId="178"/>
      <sheetData sheetId="179">
        <row r="2">
          <cell r="J2" t="str">
            <v>PSI</v>
          </cell>
        </row>
      </sheetData>
      <sheetData sheetId="180">
        <row r="1">
          <cell r="A1" t="str">
            <v>ID</v>
          </cell>
        </row>
      </sheetData>
      <sheetData sheetId="181"/>
      <sheetData sheetId="182"/>
      <sheetData sheetId="183"/>
      <sheetData sheetId="184"/>
      <sheetData sheetId="185"/>
      <sheetData sheetId="186"/>
      <sheetData sheetId="187">
        <row r="2">
          <cell r="S2">
            <v>46</v>
          </cell>
        </row>
      </sheetData>
      <sheetData sheetId="188"/>
      <sheetData sheetId="189"/>
      <sheetData sheetId="190"/>
      <sheetData sheetId="191"/>
      <sheetData sheetId="192"/>
      <sheetData sheetId="193"/>
      <sheetData sheetId="194">
        <row r="2">
          <cell r="J2" t="str">
            <v>PSI</v>
          </cell>
        </row>
      </sheetData>
      <sheetData sheetId="195">
        <row r="1">
          <cell r="A1" t="str">
            <v>ID</v>
          </cell>
        </row>
      </sheetData>
      <sheetData sheetId="196">
        <row r="4">
          <cell r="B4">
            <v>0</v>
          </cell>
        </row>
      </sheetData>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structions "/>
      <sheetName val="Key Informant Interview Results"/>
      <sheetName val="Threshold Establishment"/>
      <sheetName val="Scores"/>
      <sheetName val="Summary Results Dashboard"/>
      <sheetName val="Objectives and Priorities"/>
      <sheetName val="List_Reference"/>
      <sheetName val="CCM LIST"/>
      <sheetName val="List"/>
      <sheetName val="CCMs"/>
      <sheetName val="List2"/>
    </sheetNames>
    <sheetDataSet>
      <sheetData sheetId="0"/>
      <sheetData sheetId="1"/>
      <sheetData sheetId="2"/>
      <sheetData sheetId="3"/>
      <sheetData sheetId="4"/>
      <sheetData sheetId="5"/>
      <sheetData sheetId="6"/>
      <sheetData sheetId="7"/>
      <sheetData sheetId="8"/>
      <sheetData sheetId="9"/>
      <sheetData sheetId="10">
        <row r="2">
          <cell r="A2" t="str">
            <v>CCM Afghanistan</v>
          </cell>
          <cell r="N2">
            <v>1</v>
          </cell>
          <cell r="O2" t="str">
            <v>January</v>
          </cell>
        </row>
        <row r="3">
          <cell r="A3" t="str">
            <v>CCM Albania</v>
          </cell>
          <cell r="N3">
            <v>2</v>
          </cell>
          <cell r="O3" t="str">
            <v>February</v>
          </cell>
        </row>
        <row r="4">
          <cell r="A4" t="str">
            <v>CCM Algeria</v>
          </cell>
        </row>
        <row r="5">
          <cell r="A5" t="str">
            <v>CCM Angola</v>
          </cell>
          <cell r="N5">
            <v>3</v>
          </cell>
          <cell r="O5" t="str">
            <v>March</v>
          </cell>
        </row>
        <row r="6">
          <cell r="A6" t="str">
            <v>CCM Armenia</v>
          </cell>
          <cell r="N6">
            <v>4</v>
          </cell>
          <cell r="O6" t="str">
            <v>April</v>
          </cell>
        </row>
        <row r="7">
          <cell r="A7" t="str">
            <v>CCM Azerbaijan</v>
          </cell>
          <cell r="N7">
            <v>5</v>
          </cell>
          <cell r="O7" t="str">
            <v>May</v>
          </cell>
        </row>
        <row r="8">
          <cell r="A8" t="str">
            <v>CCM Bangladesh</v>
          </cell>
          <cell r="N8">
            <v>6</v>
          </cell>
          <cell r="O8" t="str">
            <v>June</v>
          </cell>
        </row>
        <row r="9">
          <cell r="A9" t="str">
            <v>CCM Belarus</v>
          </cell>
          <cell r="N9">
            <v>7</v>
          </cell>
          <cell r="O9" t="str">
            <v>July</v>
          </cell>
        </row>
        <row r="10">
          <cell r="A10" t="str">
            <v>CCM Belize</v>
          </cell>
          <cell r="N10">
            <v>8</v>
          </cell>
          <cell r="O10" t="str">
            <v>August</v>
          </cell>
        </row>
        <row r="11">
          <cell r="A11" t="str">
            <v>CCM Benin</v>
          </cell>
          <cell r="N11">
            <v>9</v>
          </cell>
          <cell r="O11" t="str">
            <v>September</v>
          </cell>
        </row>
        <row r="12">
          <cell r="A12" t="str">
            <v>CCM Bhutan</v>
          </cell>
          <cell r="N12">
            <v>10</v>
          </cell>
          <cell r="O12" t="str">
            <v>October</v>
          </cell>
        </row>
        <row r="13">
          <cell r="A13" t="str">
            <v>CCM Bolivia</v>
          </cell>
          <cell r="N13">
            <v>11</v>
          </cell>
          <cell r="O13" t="str">
            <v>November</v>
          </cell>
        </row>
        <row r="14">
          <cell r="A14" t="str">
            <v>CCM Bosnia and Herzegovina</v>
          </cell>
          <cell r="N14">
            <v>12</v>
          </cell>
          <cell r="O14" t="str">
            <v>December</v>
          </cell>
        </row>
        <row r="15">
          <cell r="A15" t="str">
            <v>CCM Botswana</v>
          </cell>
          <cell r="N15">
            <v>13</v>
          </cell>
        </row>
        <row r="16">
          <cell r="A16" t="str">
            <v>CCM Bulgaria</v>
          </cell>
          <cell r="N16">
            <v>14</v>
          </cell>
        </row>
        <row r="17">
          <cell r="A17" t="str">
            <v>CCM Burkina Faso</v>
          </cell>
          <cell r="N17">
            <v>15</v>
          </cell>
        </row>
        <row r="18">
          <cell r="A18" t="str">
            <v>CCM Burundi</v>
          </cell>
          <cell r="N18">
            <v>16</v>
          </cell>
        </row>
        <row r="19">
          <cell r="A19" t="str">
            <v>CCM Cambodia</v>
          </cell>
          <cell r="N19">
            <v>17</v>
          </cell>
        </row>
        <row r="20">
          <cell r="A20" t="str">
            <v>CCM Cameroon</v>
          </cell>
          <cell r="N20">
            <v>18</v>
          </cell>
        </row>
        <row r="21">
          <cell r="A21" t="str">
            <v>CCM Cape Verde</v>
          </cell>
          <cell r="N21">
            <v>19</v>
          </cell>
        </row>
        <row r="22">
          <cell r="A22" t="str">
            <v>CCM Central African Republic</v>
          </cell>
          <cell r="N22">
            <v>20</v>
          </cell>
        </row>
        <row r="23">
          <cell r="A23" t="str">
            <v>CCM Chad</v>
          </cell>
          <cell r="N23">
            <v>21</v>
          </cell>
        </row>
        <row r="24">
          <cell r="A24" t="str">
            <v>CCM China</v>
          </cell>
          <cell r="N24">
            <v>22</v>
          </cell>
        </row>
        <row r="25">
          <cell r="A25" t="str">
            <v>CCM Colombia</v>
          </cell>
          <cell r="N25">
            <v>23</v>
          </cell>
        </row>
        <row r="26">
          <cell r="A26" t="str">
            <v>CCM Comoros</v>
          </cell>
          <cell r="N26">
            <v>24</v>
          </cell>
        </row>
        <row r="27">
          <cell r="A27" t="str">
            <v>CCM Congo (Democratic Republic)</v>
          </cell>
          <cell r="N27">
            <v>25</v>
          </cell>
        </row>
        <row r="28">
          <cell r="A28" t="str">
            <v>CCM Congo (Republic of)</v>
          </cell>
          <cell r="N28">
            <v>26</v>
          </cell>
        </row>
        <row r="29">
          <cell r="A29" t="str">
            <v>CCM Costa Rica</v>
          </cell>
          <cell r="N29">
            <v>27</v>
          </cell>
        </row>
        <row r="30">
          <cell r="A30" t="str">
            <v>CCM Côte d'Ivoire</v>
          </cell>
          <cell r="N30">
            <v>28</v>
          </cell>
        </row>
        <row r="31">
          <cell r="A31" t="str">
            <v>CCM Cuba</v>
          </cell>
          <cell r="N31">
            <v>29</v>
          </cell>
        </row>
        <row r="32">
          <cell r="A32" t="str">
            <v>CCM Djibouti</v>
          </cell>
          <cell r="N32">
            <v>30</v>
          </cell>
        </row>
        <row r="33">
          <cell r="A33" t="str">
            <v>CCM Dominican Republic</v>
          </cell>
          <cell r="N33">
            <v>31</v>
          </cell>
        </row>
        <row r="34">
          <cell r="A34" t="str">
            <v>CCM DPR of Korea</v>
          </cell>
        </row>
        <row r="35">
          <cell r="A35" t="str">
            <v>CCM Ecuador</v>
          </cell>
        </row>
        <row r="36">
          <cell r="A36" t="str">
            <v>Non-CCM Egypt</v>
          </cell>
        </row>
        <row r="37">
          <cell r="A37" t="str">
            <v>CCM El Salvador</v>
          </cell>
        </row>
        <row r="38">
          <cell r="A38" t="str">
            <v>CCM Eritrea</v>
          </cell>
        </row>
        <row r="39">
          <cell r="A39" t="str">
            <v>CCM Ethiopia</v>
          </cell>
        </row>
        <row r="40">
          <cell r="A40" t="str">
            <v>CCM Ficticia</v>
          </cell>
        </row>
        <row r="41">
          <cell r="A41" t="str">
            <v>CCM Fiji</v>
          </cell>
        </row>
        <row r="42">
          <cell r="A42" t="str">
            <v>CCM Gabon</v>
          </cell>
        </row>
        <row r="43">
          <cell r="A43" t="str">
            <v>CCM Gambia</v>
          </cell>
        </row>
        <row r="44">
          <cell r="A44" t="str">
            <v>CCM Georgia</v>
          </cell>
        </row>
        <row r="45">
          <cell r="A45" t="str">
            <v>CCM Ghana</v>
          </cell>
        </row>
        <row r="46">
          <cell r="A46" t="str">
            <v>CCM Guatemala</v>
          </cell>
        </row>
        <row r="47">
          <cell r="A47" t="str">
            <v>CCM Guinea</v>
          </cell>
        </row>
        <row r="48">
          <cell r="A48" t="str">
            <v>CCM Guinea-Bissau</v>
          </cell>
        </row>
        <row r="49">
          <cell r="A49" t="str">
            <v>CCM Guyana</v>
          </cell>
        </row>
        <row r="50">
          <cell r="A50" t="str">
            <v>CCM Haiti</v>
          </cell>
        </row>
        <row r="51">
          <cell r="A51" t="str">
            <v>CCM Honduras</v>
          </cell>
        </row>
        <row r="52">
          <cell r="A52" t="str">
            <v>CCM India</v>
          </cell>
        </row>
        <row r="53">
          <cell r="A53" t="str">
            <v>CCM Indonesia</v>
          </cell>
        </row>
        <row r="54">
          <cell r="A54" t="str">
            <v>CCM Iran (Islamic Republic of)</v>
          </cell>
        </row>
        <row r="55">
          <cell r="A55" t="str">
            <v>CCM Iraq</v>
          </cell>
        </row>
        <row r="56">
          <cell r="A56" t="str">
            <v>CCM Jamaica</v>
          </cell>
        </row>
        <row r="57">
          <cell r="A57" t="str">
            <v>CCM Kazakhstan</v>
          </cell>
        </row>
        <row r="58">
          <cell r="A58" t="str">
            <v>CCM Kenya</v>
          </cell>
        </row>
        <row r="59">
          <cell r="A59" t="str">
            <v>CCM Kosovo</v>
          </cell>
        </row>
        <row r="60">
          <cell r="A60" t="str">
            <v>CCM Kyrgyzstan</v>
          </cell>
        </row>
        <row r="61">
          <cell r="A61" t="str">
            <v>CCM Lao PDR</v>
          </cell>
        </row>
        <row r="62">
          <cell r="A62" t="str">
            <v>CCM Lesotho</v>
          </cell>
        </row>
        <row r="63">
          <cell r="A63" t="str">
            <v>CCM Liberia</v>
          </cell>
        </row>
        <row r="64">
          <cell r="A64" t="str">
            <v>CCM Macedonia</v>
          </cell>
        </row>
        <row r="65">
          <cell r="A65" t="str">
            <v>CCM Madagascar</v>
          </cell>
        </row>
        <row r="66">
          <cell r="A66" t="str">
            <v>CCM Malawi</v>
          </cell>
        </row>
        <row r="67">
          <cell r="A67" t="str">
            <v>CCM Malaysia</v>
          </cell>
        </row>
        <row r="68">
          <cell r="A68" t="str">
            <v>CCM Mali</v>
          </cell>
        </row>
        <row r="69">
          <cell r="A69" t="str">
            <v>CCM Mauritania</v>
          </cell>
        </row>
        <row r="70">
          <cell r="A70" t="str">
            <v>CCM Mauritius</v>
          </cell>
        </row>
        <row r="71">
          <cell r="A71" t="str">
            <v>CCM Moldova</v>
          </cell>
        </row>
        <row r="72">
          <cell r="A72" t="str">
            <v>CCM Mongolia</v>
          </cell>
        </row>
        <row r="73">
          <cell r="A73" t="str">
            <v>CCM Montenegro</v>
          </cell>
        </row>
        <row r="74">
          <cell r="A74" t="str">
            <v>CCM Morocco</v>
          </cell>
        </row>
        <row r="75">
          <cell r="A75" t="str">
            <v>CCM Mozambique</v>
          </cell>
        </row>
        <row r="76">
          <cell r="A76" t="str">
            <v>CCM Multicountry South Asia</v>
          </cell>
        </row>
        <row r="77">
          <cell r="A77" t="str">
            <v>CCM Myanmar</v>
          </cell>
        </row>
        <row r="78">
          <cell r="A78" t="str">
            <v>CCM Namibia</v>
          </cell>
        </row>
        <row r="79">
          <cell r="A79" t="str">
            <v>CCM Nepal</v>
          </cell>
        </row>
        <row r="80">
          <cell r="A80" t="str">
            <v>CCM Nicaragua</v>
          </cell>
        </row>
        <row r="81">
          <cell r="A81" t="str">
            <v>CCM Niger</v>
          </cell>
        </row>
        <row r="82">
          <cell r="A82" t="str">
            <v>CCM Nigeria</v>
          </cell>
        </row>
        <row r="83">
          <cell r="A83" t="str">
            <v>CCM Pakistan</v>
          </cell>
        </row>
        <row r="84">
          <cell r="A84" t="str">
            <v>CCM Panama</v>
          </cell>
        </row>
        <row r="85">
          <cell r="A85" t="str">
            <v>CCM Papua New Guinea</v>
          </cell>
        </row>
        <row r="86">
          <cell r="A86" t="str">
            <v>CCM Paraguay</v>
          </cell>
        </row>
        <row r="87">
          <cell r="A87" t="str">
            <v>CCM Peru</v>
          </cell>
        </row>
        <row r="88">
          <cell r="A88" t="str">
            <v>CCM Philippines</v>
          </cell>
        </row>
        <row r="89">
          <cell r="A89" t="str">
            <v>CCM Romania</v>
          </cell>
        </row>
        <row r="90">
          <cell r="A90" t="str">
            <v>CCM Rwanda</v>
          </cell>
        </row>
        <row r="91">
          <cell r="A91" t="str">
            <v>CCM São Tomé and Príncipe</v>
          </cell>
        </row>
        <row r="92">
          <cell r="A92" t="str">
            <v>CCM Senegal</v>
          </cell>
        </row>
        <row r="93">
          <cell r="A93" t="str">
            <v>CCM Serbia</v>
          </cell>
        </row>
        <row r="94">
          <cell r="A94" t="str">
            <v>CCM Sierra Leone</v>
          </cell>
        </row>
        <row r="95">
          <cell r="A95" t="str">
            <v>CCM Solomon Islands</v>
          </cell>
        </row>
        <row r="96">
          <cell r="A96" t="str">
            <v>CCM South Africa</v>
          </cell>
        </row>
        <row r="97">
          <cell r="A97" t="str">
            <v>CCM South Sudan</v>
          </cell>
        </row>
        <row r="98">
          <cell r="A98" t="str">
            <v>CCM Sri Lanka</v>
          </cell>
        </row>
        <row r="99">
          <cell r="A99" t="str">
            <v>CCM Sudan</v>
          </cell>
        </row>
        <row r="100">
          <cell r="A100" t="str">
            <v>CCM Suriname</v>
          </cell>
        </row>
        <row r="101">
          <cell r="A101" t="str">
            <v>CCM Eswatini</v>
          </cell>
        </row>
        <row r="102">
          <cell r="A102" t="str">
            <v>CCM Syria</v>
          </cell>
        </row>
        <row r="103">
          <cell r="A103" t="str">
            <v>CCM Tajikistan</v>
          </cell>
        </row>
        <row r="104">
          <cell r="A104" t="str">
            <v>CCM Tanzania</v>
          </cell>
        </row>
        <row r="105">
          <cell r="A105" t="str">
            <v>CCM Thailand</v>
          </cell>
        </row>
        <row r="106">
          <cell r="A106" t="str">
            <v>CCM Timor Leste</v>
          </cell>
        </row>
        <row r="107">
          <cell r="A107" t="str">
            <v>CCM Togo</v>
          </cell>
        </row>
        <row r="108">
          <cell r="A108" t="str">
            <v>CCM Tunisia</v>
          </cell>
        </row>
        <row r="109">
          <cell r="A109" t="str">
            <v>CCM Turkmenistan</v>
          </cell>
        </row>
        <row r="110">
          <cell r="A110" t="str">
            <v>CCM Uganda</v>
          </cell>
        </row>
        <row r="111">
          <cell r="A111" t="str">
            <v>CCM Ukraine</v>
          </cell>
        </row>
        <row r="112">
          <cell r="A112" t="str">
            <v>CCM Uruguay</v>
          </cell>
        </row>
        <row r="113">
          <cell r="A113" t="str">
            <v>CCM Uzbekistan</v>
          </cell>
        </row>
        <row r="114">
          <cell r="A114" t="str">
            <v>CCM Viet Nam</v>
          </cell>
        </row>
        <row r="115">
          <cell r="A115" t="str">
            <v>CCM Yemen</v>
          </cell>
        </row>
        <row r="116">
          <cell r="A116" t="str">
            <v>CCM Zambia</v>
          </cell>
        </row>
        <row r="117">
          <cell r="A117" t="str">
            <v>CCM Zanzibar</v>
          </cell>
        </row>
        <row r="118">
          <cell r="A118" t="str">
            <v>CCM Zimbabwe</v>
          </cell>
        </row>
        <row r="119">
          <cell r="A119" t="str">
            <v>Coordination Committee for Prevention and Fight with HIV/AIDS in the Russian Federation</v>
          </cell>
        </row>
        <row r="120">
          <cell r="A120" t="str">
            <v>Non-CCM Somalia</v>
          </cell>
        </row>
        <row r="121">
          <cell r="A121" t="str">
            <v>RCM Abidjan-Lagos Corridor Organisation</v>
          </cell>
        </row>
        <row r="122">
          <cell r="A122" t="str">
            <v>RCM Africa Regional Coordinating Mechanism (ARCM)</v>
          </cell>
        </row>
        <row r="123">
          <cell r="A123" t="str">
            <v>RCM Asia - Regional Steering Committee</v>
          </cell>
        </row>
        <row r="124">
          <cell r="A124" t="str">
            <v>RCM EMMIE (Mesoamerica)</v>
          </cell>
        </row>
        <row r="125">
          <cell r="A125" t="str">
            <v>RCM Organisation of Eastern Caribbean States</v>
          </cell>
        </row>
        <row r="126">
          <cell r="A126" t="str">
            <v>RCM Southern Africa</v>
          </cell>
        </row>
        <row r="127">
          <cell r="A127" t="str">
            <v>RCM Western Africa</v>
          </cell>
        </row>
        <row r="128">
          <cell r="A128" t="str">
            <v>RCM Western Pacific</v>
          </cell>
        </row>
        <row r="129">
          <cell r="A129" t="str">
            <v>RO Eurasian Harm Reduction Network(EHRN)</v>
          </cell>
        </row>
        <row r="130">
          <cell r="A130" t="str">
            <v>RO RedTraSex</v>
          </cell>
        </row>
        <row r="131">
          <cell r="A131" t="str">
            <v>CCM Malawi</v>
          </cell>
        </row>
        <row r="132">
          <cell r="A132" t="str">
            <v>CCM Malaysia</v>
          </cell>
        </row>
        <row r="133">
          <cell r="A133" t="str">
            <v>CCM Turkmenistan</v>
          </cell>
        </row>
        <row r="134">
          <cell r="A134" t="str">
            <v>RCM Mesoamerica</v>
          </cell>
        </row>
        <row r="135">
          <cell r="A135" t="str">
            <v>RCM Multicountry Caribbean</v>
          </cell>
        </row>
        <row r="136">
          <cell r="A136" t="str">
            <v>RCM Pan Caribbean Partnership against HIV/AIDS</v>
          </cell>
        </row>
      </sheetData>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ons-lists-EFR"/>
      <sheetName val="Memo Malaria"/>
      <sheetName val="Cover Sheet"/>
      <sheetName val="PR_Programmatic Progress_1A"/>
      <sheetName val="PR Programmatic Progress 1C"/>
      <sheetName val="PR_Grant Management_2"/>
      <sheetName val="PR_Total PR Cash Outflow_3A"/>
      <sheetName val="EFR Malaria Financial Data_3B"/>
      <sheetName val="EFR TB Financial Data_3B"/>
      <sheetName val="EFR HIV AIDS Financial Data_3B"/>
      <sheetName val="PR_Procurement Info_4"/>
      <sheetName val="PR_Cash Reconciliation_5A"/>
      <sheetName val="PR_Disbursement Request_5B"/>
      <sheetName val="PR_Overall Performance_6"/>
      <sheetName val="PR_Cash Request_7A&amp;B"/>
      <sheetName val="PR_Bank Details_7C"/>
      <sheetName val="PR_Annex_SR-Financials"/>
      <sheetName val="Checklist"/>
      <sheetName val="LFA Programmatic Progress 1C"/>
      <sheetName val="LFA_Grant Management_2"/>
      <sheetName val="LFA_Total PR Cash Outflow_3A"/>
      <sheetName val="LFA_EFR Review_3B"/>
      <sheetName val="LFA_Procurement Info_4"/>
      <sheetName val="LFA_Findings&amp;Recommendations"/>
      <sheetName val="LFA_Cash Reconciliation_5A"/>
      <sheetName val="LFA_Disbursement Recommend_5B"/>
      <sheetName val="Sheet1"/>
      <sheetName val="LFA_Overall Performance_6"/>
      <sheetName val="LFA_DisbursementRecommendation7"/>
      <sheetName val="LFA_Bank Details_7C"/>
      <sheetName val="LFA_Annex-SR Financials"/>
      <sheetName val="Sheet3"/>
      <sheetName val="Annex for additional info"/>
      <sheetName val="Memo HIV"/>
      <sheetName val="Memo TB"/>
      <sheetName val="Sheet2"/>
      <sheetName val="PR RFR_7"/>
      <sheetName val="Modules"/>
      <sheetName val="Data"/>
      <sheetName val="ImpactOutcomeDisaggData"/>
      <sheetName val="Impactoutcome"/>
      <sheetName val="Coverage Indicators"/>
      <sheetName val="CoverageDisaggregationData"/>
      <sheetName val="Intervention By Modules old"/>
      <sheetName val="Intervention By Modules"/>
      <sheetName val="Gestion de la subvention_4"/>
      <sheetName val="Évaluation RP-ALF_5"/>
      <sheetName val="LFA_Findings&amp;Recommendations_6"/>
      <sheetName val="EATS FINANCIERS 2015"/>
      <sheetName val="GL 2015"/>
      <sheetName val="EFR Data"/>
      <sheetName val="ALF RFR_7"/>
      <sheetName val="Prévision trésor. annuelle_8A"/>
      <sheetName val=" Demande et recommandation_8B"/>
      <sheetName val="Autorisation RP_9A"/>
      <sheetName val="LFA Authorization_9B"/>
      <sheetName val="Liste de contrôle"/>
      <sheetName val="Don gia III"/>
      <sheetName val="Don gia CT"/>
      <sheetName val="PUDR%20template%20v2.xls"/>
      <sheetName val="PUDR template v2"/>
      <sheetName val="Cover_Sheet"/>
      <sheetName val="PR_Programmatic_Progress_1A"/>
      <sheetName val="PR_Programmatic_Progress_1C"/>
      <sheetName val="PR_Grant_Management_2"/>
      <sheetName val="PR_Total_PR_Cash_Outflow_3A"/>
      <sheetName val="EFR_Malaria_Financial_Data_3B"/>
      <sheetName val="EFR_TB_Financial_Data_3B"/>
      <sheetName val="EFR_HIV_AIDS_Financial_Data_3B"/>
      <sheetName val="PR_Procurement_Info_4"/>
      <sheetName val="PR_Cash_Reconciliation_5A"/>
      <sheetName val="PR_Disbursement_Request_5B"/>
      <sheetName val="PR_Overall_Performance_6"/>
      <sheetName val="PR_Cash_Request_7A&amp;B"/>
      <sheetName val="PR_Bank_Details_7C"/>
      <sheetName val="LFA_Programmatic_Progress_1C"/>
      <sheetName val="LFA_Grant_Management_2"/>
      <sheetName val="LFA_Total_PR_Cash_Outflow_3A"/>
      <sheetName val="LFA_EFR_Review_3B"/>
      <sheetName val="LFA_Procurement_Info_4"/>
      <sheetName val="LFA_Cash_Reconciliation_5A"/>
      <sheetName val="LFA_Disbursement_Recommend_5B"/>
      <sheetName val="LFA_Overall_Performance_6"/>
      <sheetName val="LFA_Bank_Details_7C"/>
      <sheetName val="LFA_Annex-SR_Financials"/>
      <sheetName val="Annex_for_additional_info"/>
      <sheetName val="Memo_HIV"/>
      <sheetName val="Memo_TB"/>
      <sheetName val="Memo_Malaria"/>
      <sheetName val="Cover_Sheet2"/>
      <sheetName val="PR_Programmatic_Progress_1A2"/>
      <sheetName val="PR_Programmatic_Progress_1C2"/>
      <sheetName val="PR_Grant_Management_22"/>
      <sheetName val="PR_Total_PR_Cash_Outflow_3A2"/>
      <sheetName val="EFR_Malaria_Financial_Data_3B2"/>
      <sheetName val="EFR_TB_Financial_Data_3B2"/>
      <sheetName val="EFR_HIV_AIDS_Financial_Data_3B2"/>
      <sheetName val="PR_Procurement_Info_42"/>
      <sheetName val="PR_Cash_Reconciliation_5A2"/>
      <sheetName val="PR_Disbursement_Request_5B2"/>
      <sheetName val="PR_Overall_Performance_62"/>
      <sheetName val="PR_Cash_Request_7A&amp;B2"/>
      <sheetName val="PR_Bank_Details_7C2"/>
      <sheetName val="LFA_Programmatic_Progress_1C2"/>
      <sheetName val="LFA_Grant_Management_22"/>
      <sheetName val="LFA_Total_PR_Cash_Outflow_3A2"/>
      <sheetName val="LFA_EFR_Review_3B2"/>
      <sheetName val="LFA_Procurement_Info_42"/>
      <sheetName val="LFA_Cash_Reconciliation_5A2"/>
      <sheetName val="LFA_Disbursement_Recommend_5B2"/>
      <sheetName val="LFA_Overall_Performance_62"/>
      <sheetName val="LFA_Bank_Details_7C2"/>
      <sheetName val="LFA_Annex-SR_Financials2"/>
      <sheetName val="Annex_for_additional_info2"/>
      <sheetName val="Memo_HIV2"/>
      <sheetName val="Memo_TB2"/>
      <sheetName val="Memo_Malaria2"/>
      <sheetName val="PR_RFR_71"/>
      <sheetName val="Cover_Sheet1"/>
      <sheetName val="PR_Programmatic_Progress_1A1"/>
      <sheetName val="PR_Programmatic_Progress_1C1"/>
      <sheetName val="PR_Grant_Management_21"/>
      <sheetName val="PR_Total_PR_Cash_Outflow_3A1"/>
      <sheetName val="EFR_Malaria_Financial_Data_3B1"/>
      <sheetName val="EFR_TB_Financial_Data_3B1"/>
      <sheetName val="EFR_HIV_AIDS_Financial_Data_3B1"/>
      <sheetName val="PR_Procurement_Info_41"/>
      <sheetName val="PR_Cash_Reconciliation_5A1"/>
      <sheetName val="PR_Disbursement_Request_5B1"/>
      <sheetName val="PR_Overall_Performance_61"/>
      <sheetName val="PR_Cash_Request_7A&amp;B1"/>
      <sheetName val="PR_Bank_Details_7C1"/>
      <sheetName val="LFA_Programmatic_Progress_1C1"/>
      <sheetName val="LFA_Grant_Management_21"/>
      <sheetName val="LFA_Total_PR_Cash_Outflow_3A1"/>
      <sheetName val="LFA_EFR_Review_3B1"/>
      <sheetName val="LFA_Procurement_Info_41"/>
      <sheetName val="LFA_Cash_Reconciliation_5A1"/>
      <sheetName val="LFA_Disbursement_Recommend_5B1"/>
      <sheetName val="LFA_Overall_Performance_61"/>
      <sheetName val="LFA_Bank_Details_7C1"/>
      <sheetName val="LFA_Annex-SR_Financials1"/>
      <sheetName val="Annex_for_additional_info1"/>
      <sheetName val="Memo_HIV1"/>
      <sheetName val="Memo_TB1"/>
      <sheetName val="Memo_Malaria1"/>
      <sheetName val="PR_RFR_7"/>
      <sheetName val="GL Dépenses péalables 2013"/>
      <sheetName val="GL AVR - DEC 2013"/>
      <sheetName val="ETATS FINANCIERS 2013"/>
      <sheetName val="GL JAN - JUN 2014"/>
      <sheetName val="GL JUI - DEC 2014"/>
      <sheetName val="ETATS FINANCIERS 2014"/>
      <sheetName val="ETATS FINANCIERS 2015"/>
      <sheetName val="Definitions"/>
      <sheetName val="Cover_Sheet3"/>
      <sheetName val="PR_Programmatic_Progress_1A3"/>
      <sheetName val="PR_Programmatic_Progress_1C3"/>
      <sheetName val="PR_Grant_Management_23"/>
      <sheetName val="PR_Total_PR_Cash_Outflow_3A3"/>
      <sheetName val="EFR_Malaria_Financial_Data_3B3"/>
      <sheetName val="EFR_TB_Financial_Data_3B3"/>
      <sheetName val="EFR_HIV_AIDS_Financial_Data_3B3"/>
      <sheetName val="PR_Procurement_Info_43"/>
      <sheetName val="PR_Cash_Reconciliation_5A3"/>
      <sheetName val="PR_Disbursement_Request_5B3"/>
      <sheetName val="PR_Overall_Performance_63"/>
      <sheetName val="PR_Cash_Request_7A&amp;B3"/>
      <sheetName val="PR_Bank_Details_7C3"/>
      <sheetName val="LFA_Programmatic_Progress_1C3"/>
      <sheetName val="LFA_Grant_Management_23"/>
      <sheetName val="LFA_Total_PR_Cash_Outflow_3A3"/>
      <sheetName val="LFA_EFR_Review_3B3"/>
      <sheetName val="LFA_Procurement_Info_43"/>
      <sheetName val="LFA_Cash_Reconciliation_5A3"/>
      <sheetName val="LFA_Disbursement_Recommend_5B3"/>
      <sheetName val="LFA_Overall_Performance_63"/>
      <sheetName val="LFA_Bank_Details_7C3"/>
      <sheetName val="LFA_Annex-SR_Financials3"/>
      <sheetName val="Annex_for_additional_info3"/>
      <sheetName val="Memo_HIV3"/>
      <sheetName val="Memo_TB3"/>
      <sheetName val="Memo_Malaria3"/>
      <sheetName val="PR_RFR_72"/>
      <sheetName val="Coverage_Indicators"/>
      <sheetName val="Intervention_By_Modules_old"/>
      <sheetName val="Intervention_By_Modules"/>
      <sheetName val="Gestion_de_la_subvention_4"/>
      <sheetName val="Évaluation_RP-ALF_5"/>
      <sheetName val="EATS_FINANCIERS_2015"/>
      <sheetName val="GL_2015"/>
      <sheetName val="EFR_Data"/>
      <sheetName val="ALF_RFR_7"/>
      <sheetName val="Prévision_trésor__annuelle_8A"/>
      <sheetName val="_Demande_et_recommandation_8B"/>
      <sheetName val="Autorisation_RP_9A"/>
      <sheetName val="LFA_Authorization_9B"/>
      <sheetName val="Liste_de_contrôle"/>
      <sheetName val="GL_Dépenses_péalables_2013"/>
      <sheetName val="GL_AVR_-_DEC_2013"/>
      <sheetName val="ETATS_FINANCIERS_2013"/>
      <sheetName val="GL_JAN_-_JUN_2014"/>
      <sheetName val="GL_JUI_-_DEC_2014"/>
      <sheetName val="ETATS_FINANCIERS_2014"/>
      <sheetName val="ETATS_FINANCIERS_2015"/>
      <sheetName val="Don_gia_III"/>
      <sheetName val="Don_gia_CT"/>
      <sheetName val="PUDR%20template%20v2_xls"/>
      <sheetName val="PUDR_template_v2"/>
    </sheetNames>
    <sheetDataSet>
      <sheetData sheetId="0" refreshError="1">
        <row r="21">
          <cell r="A21" t="str">
            <v>Please Select…</v>
          </cell>
        </row>
        <row r="22">
          <cell r="A22" t="str">
            <v>Prevention</v>
          </cell>
        </row>
        <row r="23">
          <cell r="A23" t="str">
            <v>Treatment</v>
          </cell>
        </row>
        <row r="24">
          <cell r="A24" t="str">
            <v>Supportive Environment</v>
          </cell>
        </row>
        <row r="25">
          <cell r="A25" t="str">
            <v>Health System Strengthening (HSS)</v>
          </cell>
        </row>
        <row r="58">
          <cell r="A58" t="str">
            <v>Please Select…</v>
          </cell>
        </row>
        <row r="59">
          <cell r="A59" t="str">
            <v>FBO</v>
          </cell>
        </row>
        <row r="60">
          <cell r="A60" t="str">
            <v>NGO/CBO/Academic</v>
          </cell>
        </row>
        <row r="61">
          <cell r="A61" t="str">
            <v>Private Sector</v>
          </cell>
        </row>
        <row r="62">
          <cell r="A62" t="str">
            <v>Ministry Health (MoH)</v>
          </cell>
        </row>
        <row r="63">
          <cell r="A63" t="str">
            <v>Other Government</v>
          </cell>
        </row>
        <row r="64">
          <cell r="A64" t="str">
            <v>UNDP</v>
          </cell>
        </row>
        <row r="65">
          <cell r="A65" t="str">
            <v>Other Multilateral Organization</v>
          </cell>
        </row>
      </sheetData>
      <sheetData sheetId="1" refreshError="1">
        <row r="2">
          <cell r="A2" t="str">
            <v>please select…</v>
          </cell>
        </row>
        <row r="3">
          <cell r="A3" t="str">
            <v>Prevention:  Behavioral Change Communication - Mass media</v>
          </cell>
        </row>
        <row r="4">
          <cell r="A4" t="str">
            <v>Prevention:  Behavioral Change Communication - community outreach</v>
          </cell>
        </row>
        <row r="5">
          <cell r="A5" t="str">
            <v>Prevention: Insecticide-treated nets (ITNs)</v>
          </cell>
        </row>
        <row r="6">
          <cell r="A6" t="str">
            <v>Prevention: Malaria prevention during pregnancy</v>
          </cell>
        </row>
        <row r="7">
          <cell r="A7" t="str">
            <v>Prevention: Vector control (other than ITNs)</v>
          </cell>
        </row>
        <row r="8">
          <cell r="A8" t="str">
            <v>Prevention: other - specify</v>
          </cell>
        </row>
        <row r="9">
          <cell r="A9" t="str">
            <v>Treatment: Prompt, effective anti-malarial treatment</v>
          </cell>
        </row>
        <row r="10">
          <cell r="A10" t="str">
            <v>Treatment: Home based management of malaria</v>
          </cell>
        </row>
        <row r="11">
          <cell r="A11" t="str">
            <v>Treatment: Diagnosis</v>
          </cell>
        </row>
        <row r="12">
          <cell r="A12" t="str">
            <v>Treatment: other - specify</v>
          </cell>
        </row>
        <row r="13">
          <cell r="A13" t="str">
            <v>Supportive environment: Monitoring drug resistance</v>
          </cell>
        </row>
        <row r="14">
          <cell r="A14" t="str">
            <v>Supportive environment: Monitoring insecticide resistance</v>
          </cell>
        </row>
        <row r="15">
          <cell r="A15" t="str">
            <v>Supportive environment: Coordination and partnership development (national, community, public-private)</v>
          </cell>
        </row>
        <row r="16">
          <cell r="A16" t="str">
            <v>Supportive environment: other - specify</v>
          </cell>
        </row>
        <row r="17">
          <cell r="A17" t="str">
            <v>Supportive environment: Program management and administration</v>
          </cell>
        </row>
        <row r="18">
          <cell r="A18" t="str">
            <v>HSS: Service delivery</v>
          </cell>
        </row>
        <row r="19">
          <cell r="A19" t="str">
            <v>HSS: Human resources</v>
          </cell>
        </row>
        <row r="20">
          <cell r="A20" t="str">
            <v>HSS: Community Systems Strengthening</v>
          </cell>
        </row>
        <row r="21">
          <cell r="A21" t="str">
            <v>HSS: Information system &amp; Operational research</v>
          </cell>
        </row>
        <row r="22">
          <cell r="A22" t="str">
            <v>HSS: Infrastructure</v>
          </cell>
        </row>
        <row r="23">
          <cell r="A23" t="str">
            <v>HSS: Procurement and Supply management</v>
          </cell>
        </row>
        <row r="24">
          <cell r="A24" t="str">
            <v>HSS: other - specify</v>
          </cell>
        </row>
      </sheetData>
      <sheetData sheetId="2" refreshError="1"/>
      <sheetData sheetId="3">
        <row r="2">
          <cell r="A2" t="str">
            <v>please select…</v>
          </cell>
        </row>
      </sheetData>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2">
          <cell r="A2" t="str">
            <v>please select…</v>
          </cell>
        </row>
      </sheetData>
      <sheetData sheetId="37">
        <row r="13">
          <cell r="C13" t="str">
            <v>Tuberculose multirésistante</v>
          </cell>
        </row>
      </sheetData>
      <sheetData sheetId="38">
        <row r="13">
          <cell r="C13" t="str">
            <v>Tuberculose multirésistante</v>
          </cell>
        </row>
      </sheetData>
      <sheetData sheetId="39" refreshError="1"/>
      <sheetData sheetId="40"/>
      <sheetData sheetId="41"/>
      <sheetData sheetId="42" refreshError="1"/>
      <sheetData sheetId="43"/>
      <sheetData sheetId="44"/>
      <sheetData sheetId="45"/>
      <sheetData sheetId="46"/>
      <sheetData sheetId="47"/>
      <sheetData sheetId="48"/>
      <sheetData sheetId="49"/>
      <sheetData sheetId="50"/>
      <sheetData sheetId="51"/>
      <sheetData sheetId="52"/>
      <sheetData sheetId="53"/>
      <sheetData sheetId="54">
        <row r="2">
          <cell r="A2" t="str">
            <v>please select…</v>
          </cell>
        </row>
      </sheetData>
      <sheetData sheetId="55">
        <row r="2">
          <cell r="A2" t="str">
            <v>please select…</v>
          </cell>
        </row>
      </sheetData>
      <sheetData sheetId="56">
        <row r="13">
          <cell r="C13" t="str">
            <v>Tuberculose multirésistante</v>
          </cell>
        </row>
      </sheetData>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row r="2">
          <cell r="A2" t="str">
            <v>please select…</v>
          </cell>
        </row>
      </sheetData>
      <sheetData sheetId="69">
        <row r="2">
          <cell r="A2" t="str">
            <v>please select…</v>
          </cell>
        </row>
      </sheetData>
      <sheetData sheetId="70">
        <row r="13">
          <cell r="C13" t="str">
            <v>Tuberculose multirésistante</v>
          </cell>
        </row>
      </sheetData>
      <sheetData sheetId="71"/>
      <sheetData sheetId="72"/>
      <sheetData sheetId="73"/>
      <sheetData sheetId="74"/>
      <sheetData sheetId="75"/>
      <sheetData sheetId="76"/>
      <sheetData sheetId="77"/>
      <sheetData sheetId="78">
        <row r="2">
          <cell r="A2" t="str">
            <v>please select…</v>
          </cell>
        </row>
      </sheetData>
      <sheetData sheetId="79"/>
      <sheetData sheetId="80"/>
      <sheetData sheetId="81"/>
      <sheetData sheetId="82"/>
      <sheetData sheetId="83"/>
      <sheetData sheetId="84"/>
      <sheetData sheetId="85"/>
      <sheetData sheetId="86"/>
      <sheetData sheetId="87">
        <row r="2">
          <cell r="A2" t="str">
            <v>please select…</v>
          </cell>
        </row>
      </sheetData>
      <sheetData sheetId="88">
        <row r="2">
          <cell r="A2" t="str">
            <v>please select…</v>
          </cell>
        </row>
      </sheetData>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ow r="2">
          <cell r="A2" t="str">
            <v>please select…</v>
          </cell>
        </row>
      </sheetData>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ow r="2">
          <cell r="A2" t="str">
            <v>please select…</v>
          </cell>
        </row>
      </sheetData>
      <sheetData sheetId="146">
        <row r="2">
          <cell r="A2" t="str">
            <v>please select…</v>
          </cell>
        </row>
      </sheetData>
      <sheetData sheetId="147"/>
      <sheetData sheetId="148"/>
      <sheetData sheetId="149"/>
      <sheetData sheetId="150"/>
      <sheetData sheetId="151"/>
      <sheetData sheetId="152"/>
      <sheetData sheetId="153"/>
      <sheetData sheetId="154"/>
      <sheetData sheetId="155"/>
      <sheetData sheetId="156">
        <row r="2">
          <cell r="A2" t="str">
            <v>please select…</v>
          </cell>
        </row>
      </sheetData>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row r="2">
          <cell r="A2" t="str">
            <v>please select…</v>
          </cell>
        </row>
      </sheetData>
      <sheetData sheetId="183">
        <row r="2">
          <cell r="A2" t="str">
            <v>please select…</v>
          </cell>
        </row>
      </sheetData>
      <sheetData sheetId="184"/>
      <sheetData sheetId="185"/>
      <sheetData sheetId="186"/>
      <sheetData sheetId="187"/>
      <sheetData sheetId="188"/>
      <sheetData sheetId="189"/>
      <sheetData sheetId="190"/>
      <sheetData sheetId="191"/>
      <sheetData sheetId="192"/>
      <sheetData sheetId="193"/>
      <sheetData sheetId="194"/>
      <sheetData sheetId="195">
        <row r="2">
          <cell r="A2" t="str">
            <v>please select…</v>
          </cell>
        </row>
      </sheetData>
      <sheetData sheetId="196">
        <row r="2">
          <cell r="A2" t="str">
            <v>please select…</v>
          </cell>
        </row>
      </sheetData>
      <sheetData sheetId="197">
        <row r="13">
          <cell r="C13" t="str">
            <v>Tuberculose multirésistante</v>
          </cell>
        </row>
      </sheetData>
      <sheetData sheetId="198"/>
      <sheetData sheetId="199"/>
      <sheetData sheetId="200"/>
      <sheetData sheetId="201"/>
      <sheetData sheetId="202"/>
      <sheetData sheetId="203"/>
      <sheetData sheetId="204"/>
      <sheetData sheetId="205"/>
      <sheetData sheetId="206"/>
      <sheetData sheetId="207"/>
      <sheetData sheetId="20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PR_Programmatic Progress_1A"/>
      <sheetName val="PR Programmatic Progress 1C"/>
      <sheetName val="PR_Grant Management_2"/>
      <sheetName val="PR_Total PR Cash Outflow_3A"/>
      <sheetName val="EFR Malaria Financial Data_3B"/>
      <sheetName val="EFR TB Financial Data_3B"/>
      <sheetName val="EFR HIV AIDS Financial Data_3B"/>
      <sheetName val="PR_Procurement Info_4"/>
      <sheetName val="PR_Cash Reconciliation_5A"/>
      <sheetName val="PR_Disbursement Request_5B"/>
      <sheetName val="PR_Overall Performance_6"/>
      <sheetName val="PR_Cash Request_7A&amp;B"/>
      <sheetName val="PR_Bank Details_7C"/>
      <sheetName val="PR_Annex_SR-Financials"/>
      <sheetName val="Checklist"/>
      <sheetName val="LFA Programmatic Progress 1C"/>
      <sheetName val="LFA_Grant Management_2"/>
      <sheetName val="LFA_Total PR Cash Outflow_3A"/>
      <sheetName val="LFA_EFR Review_3B"/>
      <sheetName val="LFA_Procurement Info_4"/>
      <sheetName val="LFA_Findings&amp;Recommendations"/>
      <sheetName val="LFA_Cash Reconciliation_5A"/>
      <sheetName val="LFA_Disbursement Recommend_5B"/>
      <sheetName val="Sheet1"/>
      <sheetName val="LFA_Overall Performance_6"/>
      <sheetName val="LFA_DisbursementRecommendation7"/>
      <sheetName val="LFA_Bank Details_7C"/>
      <sheetName val="LFA_Annex-SR Financials"/>
      <sheetName val="Sheet3"/>
      <sheetName val="Annex for additional info"/>
      <sheetName val="Memo HIV"/>
      <sheetName val="Memo TB"/>
      <sheetName val="Memo Malaria"/>
      <sheetName val="Definitions-lists-EFR"/>
      <sheetName val="Sheet2"/>
      <sheetName val="PR RFR_7"/>
      <sheetName val="CoverageDisaggregationData"/>
      <sheetName val="ImpactOutcomeDisaggData"/>
      <sheetName val="Modules"/>
      <sheetName val="Data"/>
      <sheetName val="Impactoutcome"/>
      <sheetName val="Coverage Indicators"/>
      <sheetName val="Intervention By Modules old"/>
      <sheetName val="Intervention By Modules"/>
      <sheetName val="Gestion de la subvention_4"/>
      <sheetName val="Évaluation RP-ALF_5"/>
      <sheetName val="LFA_Findings&amp;Recommendations_6"/>
      <sheetName val="EATS FINANCIERS 2015"/>
      <sheetName val="GL 2015"/>
      <sheetName val="EFR Data"/>
      <sheetName val="ALF RFR_7"/>
      <sheetName val="Prévision trésor. annuelle_8A"/>
      <sheetName val=" Demande et recommandation_8B"/>
      <sheetName val="Autorisation RP_9A"/>
      <sheetName val="LFA Authorization_9B"/>
      <sheetName val="Liste de contrôle"/>
      <sheetName val="Don gia III"/>
      <sheetName val="Don gia CT"/>
      <sheetName val="PUDR%20template%20v2.xls"/>
      <sheetName val="PUDR template v2"/>
      <sheetName val="Cover_Sheet"/>
      <sheetName val="PR_Programmatic_Progress_1A"/>
      <sheetName val="PR_Programmatic_Progress_1C"/>
      <sheetName val="PR_Grant_Management_2"/>
      <sheetName val="PR_Total_PR_Cash_Outflow_3A"/>
      <sheetName val="EFR_Malaria_Financial_Data_3B"/>
      <sheetName val="EFR_TB_Financial_Data_3B"/>
      <sheetName val="EFR_HIV_AIDS_Financial_Data_3B"/>
      <sheetName val="PR_Procurement_Info_4"/>
      <sheetName val="PR_Cash_Reconciliation_5A"/>
      <sheetName val="PR_Disbursement_Request_5B"/>
      <sheetName val="PR_Overall_Performance_6"/>
      <sheetName val="PR_Cash_Request_7A&amp;B"/>
      <sheetName val="PR_Bank_Details_7C"/>
      <sheetName val="LFA_Programmatic_Progress_1C"/>
      <sheetName val="LFA_Grant_Management_2"/>
      <sheetName val="LFA_Total_PR_Cash_Outflow_3A"/>
      <sheetName val="LFA_EFR_Review_3B"/>
      <sheetName val="LFA_Procurement_Info_4"/>
      <sheetName val="LFA_Cash_Reconciliation_5A"/>
      <sheetName val="LFA_Disbursement_Recommend_5B"/>
      <sheetName val="LFA_Overall_Performance_6"/>
      <sheetName val="LFA_Bank_Details_7C"/>
      <sheetName val="LFA_Annex-SR_Financials"/>
      <sheetName val="Annex_for_additional_info"/>
      <sheetName val="Memo_HIV"/>
      <sheetName val="Memo_TB"/>
      <sheetName val="Memo_Malaria"/>
      <sheetName val="Cover_Sheet2"/>
      <sheetName val="PR_Programmatic_Progress_1A2"/>
      <sheetName val="PR_Programmatic_Progress_1C2"/>
      <sheetName val="PR_Grant_Management_22"/>
      <sheetName val="PR_Total_PR_Cash_Outflow_3A2"/>
      <sheetName val="EFR_Malaria_Financial_Data_3B2"/>
      <sheetName val="EFR_TB_Financial_Data_3B2"/>
      <sheetName val="EFR_HIV_AIDS_Financial_Data_3B2"/>
      <sheetName val="PR_Procurement_Info_42"/>
      <sheetName val="PR_Cash_Reconciliation_5A2"/>
      <sheetName val="PR_Disbursement_Request_5B2"/>
      <sheetName val="PR_Overall_Performance_62"/>
      <sheetName val="PR_Cash_Request_7A&amp;B2"/>
      <sheetName val="PR_Bank_Details_7C2"/>
      <sheetName val="LFA_Programmatic_Progress_1C2"/>
      <sheetName val="LFA_Grant_Management_22"/>
      <sheetName val="LFA_Total_PR_Cash_Outflow_3A2"/>
      <sheetName val="LFA_EFR_Review_3B2"/>
      <sheetName val="LFA_Procurement_Info_42"/>
      <sheetName val="LFA_Cash_Reconciliation_5A2"/>
      <sheetName val="LFA_Disbursement_Recommend_5B2"/>
      <sheetName val="LFA_Overall_Performance_62"/>
      <sheetName val="LFA_Bank_Details_7C2"/>
      <sheetName val="LFA_Annex-SR_Financials2"/>
      <sheetName val="Annex_for_additional_info2"/>
      <sheetName val="Memo_HIV2"/>
      <sheetName val="Memo_TB2"/>
      <sheetName val="Memo_Malaria2"/>
      <sheetName val="PR_RFR_71"/>
      <sheetName val="Cover_Sheet1"/>
      <sheetName val="PR_Programmatic_Progress_1A1"/>
      <sheetName val="PR_Programmatic_Progress_1C1"/>
      <sheetName val="PR_Grant_Management_21"/>
      <sheetName val="PR_Total_PR_Cash_Outflow_3A1"/>
      <sheetName val="EFR_Malaria_Financial_Data_3B1"/>
      <sheetName val="EFR_TB_Financial_Data_3B1"/>
      <sheetName val="EFR_HIV_AIDS_Financial_Data_3B1"/>
      <sheetName val="PR_Procurement_Info_41"/>
      <sheetName val="PR_Cash_Reconciliation_5A1"/>
      <sheetName val="PR_Disbursement_Request_5B1"/>
      <sheetName val="PR_Overall_Performance_61"/>
      <sheetName val="PR_Cash_Request_7A&amp;B1"/>
      <sheetName val="PR_Bank_Details_7C1"/>
      <sheetName val="LFA_Programmatic_Progress_1C1"/>
      <sheetName val="LFA_Grant_Management_21"/>
      <sheetName val="LFA_Total_PR_Cash_Outflow_3A1"/>
      <sheetName val="LFA_EFR_Review_3B1"/>
      <sheetName val="LFA_Procurement_Info_41"/>
      <sheetName val="LFA_Cash_Reconciliation_5A1"/>
      <sheetName val="LFA_Disbursement_Recommend_5B1"/>
      <sheetName val="LFA_Overall_Performance_61"/>
      <sheetName val="LFA_Bank_Details_7C1"/>
      <sheetName val="LFA_Annex-SR_Financials1"/>
      <sheetName val="Annex_for_additional_info1"/>
      <sheetName val="Memo_HIV1"/>
      <sheetName val="Memo_TB1"/>
      <sheetName val="Memo_Malaria1"/>
      <sheetName val="PR_RFR_7"/>
      <sheetName val="GL Dépenses péalables 2013"/>
      <sheetName val="GL AVR - DEC 2013"/>
      <sheetName val="ETATS FINANCIERS 2013"/>
      <sheetName val="GL JAN - JUN 2014"/>
      <sheetName val="GL JUI - DEC 2014"/>
      <sheetName val="ETATS FINANCIERS 2014"/>
      <sheetName val="ETATS FINANCIERS 2015"/>
      <sheetName val="Definitions"/>
      <sheetName val="Coverage_Indicators"/>
      <sheetName val="Intervention_By_Modules_old"/>
      <sheetName val="Intervention_By_Modules"/>
      <sheetName val="Gestion_de_la_subvention_4"/>
      <sheetName val="Évaluation_RP-ALF_5"/>
      <sheetName val="EATS_FINANCIERS_2015"/>
      <sheetName val="GL_2015"/>
      <sheetName val="EFR_Data"/>
      <sheetName val="ALF_RFR_7"/>
      <sheetName val="Prévision_trésor__annuelle_8A"/>
      <sheetName val="_Demande_et_recommandation_8B"/>
      <sheetName val="Autorisation_RP_9A"/>
      <sheetName val="LFA_Authorization_9B"/>
      <sheetName val="Liste_de_contrôle"/>
      <sheetName val="Don_gia_III"/>
      <sheetName val="Don_gia_CT"/>
      <sheetName val="PUDR%20template%20v2_xls"/>
      <sheetName val="PUDR_template_v2"/>
      <sheetName val="Cover_Sheet3"/>
      <sheetName val="PR_Programmatic_Progress_1A3"/>
      <sheetName val="PR_Programmatic_Progress_1C3"/>
      <sheetName val="PR_Grant_Management_23"/>
      <sheetName val="PR_Total_PR_Cash_Outflow_3A3"/>
      <sheetName val="EFR_Malaria_Financial_Data_3B3"/>
      <sheetName val="EFR_TB_Financial_Data_3B3"/>
      <sheetName val="EFR_HIV_AIDS_Financial_Data_3B3"/>
      <sheetName val="PR_Procurement_Info_43"/>
      <sheetName val="PR_Cash_Reconciliation_5A3"/>
      <sheetName val="PR_Disbursement_Request_5B3"/>
      <sheetName val="PR_Overall_Performance_63"/>
      <sheetName val="PR_Cash_Request_7A&amp;B3"/>
      <sheetName val="PR_Bank_Details_7C3"/>
      <sheetName val="LFA_Programmatic_Progress_1C3"/>
      <sheetName val="LFA_Grant_Management_23"/>
      <sheetName val="LFA_Total_PR_Cash_Outflow_3A3"/>
      <sheetName val="LFA_EFR_Review_3B3"/>
      <sheetName val="LFA_Procurement_Info_43"/>
      <sheetName val="LFA_Cash_Reconciliation_5A3"/>
      <sheetName val="LFA_Disbursement_Recommend_5B3"/>
      <sheetName val="LFA_Overall_Performance_63"/>
      <sheetName val="LFA_Bank_Details_7C3"/>
      <sheetName val="LFA_Annex-SR_Financials3"/>
      <sheetName val="Annex_for_additional_info3"/>
      <sheetName val="Memo_HIV3"/>
      <sheetName val="Memo_TB3"/>
      <sheetName val="Memo_Malaria3"/>
      <sheetName val="PR_RFR_72"/>
      <sheetName val="GL_Dépenses_péalables_2013"/>
      <sheetName val="GL_AVR_-_DEC_2013"/>
      <sheetName val="ETATS_FINANCIERS_2013"/>
      <sheetName val="GL_JAN_-_JUN_2014"/>
      <sheetName val="GL_JUI_-_DEC_2014"/>
      <sheetName val="ETATS_FINANCIERS_2014"/>
      <sheetName val="ETATS_FINANCIERS_2015"/>
      <sheetName val="Bayar"/>
      <sheetName val="coding"/>
      <sheetName val="DataSrcInCmp"/>
      <sheetName val="ImpactInCmp"/>
      <sheetName val="OutcomeInCmp"/>
      <sheetName val="Grants"/>
      <sheetName val="EFR"/>
      <sheetName val="Cover_Sheet5"/>
      <sheetName val="PR_Programmatic_Progress_1A5"/>
      <sheetName val="PR_Programmatic_Progress_1C5"/>
      <sheetName val="PR_Grant_Management_25"/>
      <sheetName val="PR_Total_PR_Cash_Outflow_3A5"/>
      <sheetName val="EFR_Malaria_Financial_Data_3B5"/>
      <sheetName val="EFR_TB_Financial_Data_3B5"/>
      <sheetName val="EFR_HIV_AIDS_Financial_Data_3B5"/>
      <sheetName val="PR_Procurement_Info_45"/>
      <sheetName val="PR_Cash_Reconciliation_5A5"/>
      <sheetName val="PR_Disbursement_Request_5B5"/>
      <sheetName val="PR_Overall_Performance_65"/>
      <sheetName val="PR_Cash_Request_7A&amp;B5"/>
      <sheetName val="PR_Bank_Details_7C5"/>
      <sheetName val="LFA_Programmatic_Progress_1C5"/>
      <sheetName val="LFA_Grant_Management_25"/>
      <sheetName val="LFA_Total_PR_Cash_Outflow_3A5"/>
      <sheetName val="LFA_EFR_Review_3B5"/>
      <sheetName val="LFA_Procurement_Info_45"/>
      <sheetName val="LFA_Cash_Reconciliation_5A5"/>
      <sheetName val="LFA_Disbursement_Recommend_5B5"/>
      <sheetName val="LFA_Overall_Performance_65"/>
      <sheetName val="LFA_Bank_Details_7C5"/>
      <sheetName val="LFA_Annex-SR_Financials5"/>
      <sheetName val="Annex_for_additional_info5"/>
      <sheetName val="Memo_HIV5"/>
      <sheetName val="Memo_TB5"/>
      <sheetName val="Memo_Malaria5"/>
      <sheetName val="PR_RFR_74"/>
      <sheetName val="Coverage_Indicators2"/>
      <sheetName val="Intervention_By_Modules_old2"/>
      <sheetName val="Intervention_By_Modules2"/>
      <sheetName val="Gestion_de_la_subvention_42"/>
      <sheetName val="Évaluation_RP-ALF_52"/>
      <sheetName val="EATS_FINANCIERS_20152"/>
      <sheetName val="GL_20152"/>
      <sheetName val="EFR_Data2"/>
      <sheetName val="ALF_RFR_72"/>
      <sheetName val="Prévision_trésor__annuelle_8A2"/>
      <sheetName val="_Demande_et_recommandation_8B2"/>
      <sheetName val="Autorisation_RP_9A2"/>
      <sheetName val="LFA_Authorization_9B2"/>
      <sheetName val="Liste_de_contrôle2"/>
      <sheetName val="Don_gia_III2"/>
      <sheetName val="Don_gia_CT2"/>
      <sheetName val="PUDR%20template%20v2_xls2"/>
      <sheetName val="PUDR_template_v22"/>
      <sheetName val="GL_Dépenses_péalables_20132"/>
      <sheetName val="GL_AVR_-_DEC_20132"/>
      <sheetName val="ETATS_FINANCIERS_20132"/>
      <sheetName val="GL_JAN_-_JUN_20142"/>
      <sheetName val="GL_JUI_-_DEC_20142"/>
      <sheetName val="ETATS_FINANCIERS_20142"/>
      <sheetName val="ETATS_FINANCIERS_20152"/>
      <sheetName val="Cover_Sheet4"/>
      <sheetName val="PR_Programmatic_Progress_1A4"/>
      <sheetName val="PR_Programmatic_Progress_1C4"/>
      <sheetName val="PR_Grant_Management_24"/>
      <sheetName val="PR_Total_PR_Cash_Outflow_3A4"/>
      <sheetName val="EFR_Malaria_Financial_Data_3B4"/>
      <sheetName val="EFR_TB_Financial_Data_3B4"/>
      <sheetName val="EFR_HIV_AIDS_Financial_Data_3B4"/>
      <sheetName val="PR_Procurement_Info_44"/>
      <sheetName val="PR_Cash_Reconciliation_5A4"/>
      <sheetName val="PR_Disbursement_Request_5B4"/>
      <sheetName val="PR_Overall_Performance_64"/>
      <sheetName val="PR_Cash_Request_7A&amp;B4"/>
      <sheetName val="PR_Bank_Details_7C4"/>
      <sheetName val="LFA_Programmatic_Progress_1C4"/>
      <sheetName val="LFA_Grant_Management_24"/>
      <sheetName val="LFA_Total_PR_Cash_Outflow_3A4"/>
      <sheetName val="LFA_EFR_Review_3B4"/>
      <sheetName val="LFA_Procurement_Info_44"/>
      <sheetName val="LFA_Cash_Reconciliation_5A4"/>
      <sheetName val="LFA_Disbursement_Recommend_5B4"/>
      <sheetName val="LFA_Overall_Performance_64"/>
      <sheetName val="LFA_Bank_Details_7C4"/>
      <sheetName val="LFA_Annex-SR_Financials4"/>
      <sheetName val="Annex_for_additional_info4"/>
      <sheetName val="Memo_HIV4"/>
      <sheetName val="Memo_TB4"/>
      <sheetName val="Memo_Malaria4"/>
      <sheetName val="PR_RFR_73"/>
      <sheetName val="Coverage_Indicators1"/>
      <sheetName val="Intervention_By_Modules_old1"/>
      <sheetName val="Intervention_By_Modules1"/>
      <sheetName val="Gestion_de_la_subvention_41"/>
      <sheetName val="Évaluation_RP-ALF_51"/>
      <sheetName val="EATS_FINANCIERS_20151"/>
      <sheetName val="GL_20151"/>
      <sheetName val="EFR_Data1"/>
      <sheetName val="ALF_RFR_71"/>
      <sheetName val="Prévision_trésor__annuelle_8A1"/>
      <sheetName val="_Demande_et_recommandation_8B1"/>
      <sheetName val="Autorisation_RP_9A1"/>
      <sheetName val="LFA_Authorization_9B1"/>
      <sheetName val="Liste_de_contrôle1"/>
      <sheetName val="Don_gia_III1"/>
      <sheetName val="Don_gia_CT1"/>
      <sheetName val="PUDR%20template%20v2_xls1"/>
      <sheetName val="PUDR_template_v21"/>
      <sheetName val="GL_Dépenses_péalables_20131"/>
      <sheetName val="GL_AVR_-_DEC_20131"/>
      <sheetName val="ETATS_FINANCIERS_20131"/>
      <sheetName val="GL_JAN_-_JUN_20141"/>
      <sheetName val="GL_JUI_-_DEC_20141"/>
      <sheetName val="ETATS_FINANCIERS_20141"/>
      <sheetName val="ETATS_FINANCIERS_20151"/>
      <sheetName val="Performance Framework"/>
      <sheetName val="Drops"/>
      <sheetName val=" Grant Management and update"/>
      <sheetName val="Financial At a Glance"/>
      <sheetName val="FAS"/>
      <sheetName val="RPS"/>
      <sheetName val="BES"/>
      <sheetName val="CII_Summary"/>
      <sheetName val="BRS"/>
      <sheetName val="Sch AD"/>
      <sheetName val="Sch AE"/>
      <sheetName val="Sch Loan &amp; Others"/>
      <sheetName val="Program Vs Finance"/>
      <sheetName val="VAT and Tax"/>
      <sheetName val="Updated FF &amp; E List"/>
      <sheetName val="FF&amp;E"/>
      <sheetName val="Laptop information"/>
      <sheetName val="Printer information"/>
      <sheetName val="Disposed List"/>
      <sheetName val="Bank Interest information"/>
      <sheetName val="HIV"/>
      <sheetName val="Malaria"/>
      <sheetName val="TB"/>
      <sheetName val="Lists"/>
    </sheetNames>
    <sheetDataSet>
      <sheetData sheetId="0" refreshError="1"/>
      <sheetData sheetId="1">
        <row r="2">
          <cell r="A2" t="str">
            <v>please select…</v>
          </cell>
        </row>
      </sheetData>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2">
          <cell r="A2" t="str">
            <v>please select…</v>
          </cell>
        </row>
        <row r="3">
          <cell r="A3" t="str">
            <v>Prevention:  Behavioral Change Communication - Mass media</v>
          </cell>
        </row>
        <row r="4">
          <cell r="A4" t="str">
            <v>Prevention:  Behavioral Change Communication - community outreach</v>
          </cell>
        </row>
        <row r="5">
          <cell r="A5" t="str">
            <v>Prevention: Insecticide-treated nets (ITNs)</v>
          </cell>
        </row>
        <row r="6">
          <cell r="A6" t="str">
            <v>Prevention: Malaria prevention during pregnancy</v>
          </cell>
        </row>
        <row r="7">
          <cell r="A7" t="str">
            <v>Prevention: Vector control (other than ITNs)</v>
          </cell>
        </row>
        <row r="8">
          <cell r="A8" t="str">
            <v>Prevention: other - specify</v>
          </cell>
        </row>
        <row r="9">
          <cell r="A9" t="str">
            <v>Treatment: Prompt, effective anti-malarial treatment</v>
          </cell>
        </row>
        <row r="10">
          <cell r="A10" t="str">
            <v>Treatment: Home based management of malaria</v>
          </cell>
        </row>
        <row r="11">
          <cell r="A11" t="str">
            <v>Treatment: Diagnosis</v>
          </cell>
        </row>
        <row r="12">
          <cell r="A12" t="str">
            <v>Treatment: other - specify</v>
          </cell>
        </row>
        <row r="13">
          <cell r="A13" t="str">
            <v>Supportive environment: Monitoring drug resistance</v>
          </cell>
        </row>
        <row r="14">
          <cell r="A14" t="str">
            <v>Supportive environment: Monitoring insecticide resistance</v>
          </cell>
        </row>
        <row r="15">
          <cell r="A15" t="str">
            <v>Supportive environment: Coordination and partnership development (national, community, public-private)</v>
          </cell>
        </row>
        <row r="16">
          <cell r="A16" t="str">
            <v>Supportive environment: other - specify</v>
          </cell>
        </row>
        <row r="17">
          <cell r="A17" t="str">
            <v>Supportive environment: Program management and administration</v>
          </cell>
        </row>
        <row r="18">
          <cell r="A18" t="str">
            <v>HSS: Service delivery</v>
          </cell>
        </row>
        <row r="19">
          <cell r="A19" t="str">
            <v>HSS: Human resources</v>
          </cell>
        </row>
        <row r="20">
          <cell r="A20" t="str">
            <v>HSS: Community Systems Strengthening</v>
          </cell>
        </row>
        <row r="21">
          <cell r="A21" t="str">
            <v>HSS: Information system &amp; Operational research</v>
          </cell>
        </row>
        <row r="22">
          <cell r="A22" t="str">
            <v>HSS: Infrastructure</v>
          </cell>
        </row>
        <row r="23">
          <cell r="A23" t="str">
            <v>HSS: Procurement and Supply management</v>
          </cell>
        </row>
        <row r="24">
          <cell r="A24" t="str">
            <v>HSS: other - specify</v>
          </cell>
        </row>
      </sheetData>
      <sheetData sheetId="34">
        <row r="21">
          <cell r="A21" t="str">
            <v>Please Select…</v>
          </cell>
        </row>
        <row r="22">
          <cell r="A22" t="str">
            <v>Prevention</v>
          </cell>
        </row>
        <row r="23">
          <cell r="A23" t="str">
            <v>Treatment</v>
          </cell>
        </row>
        <row r="24">
          <cell r="A24" t="str">
            <v>Supportive Environment</v>
          </cell>
        </row>
        <row r="25">
          <cell r="A25" t="str">
            <v>Health System Strengthening (HSS)</v>
          </cell>
        </row>
        <row r="58">
          <cell r="A58" t="str">
            <v>Please Select…</v>
          </cell>
        </row>
        <row r="59">
          <cell r="A59" t="str">
            <v>FBO</v>
          </cell>
        </row>
        <row r="60">
          <cell r="A60" t="str">
            <v>NGO/CBO/Academic</v>
          </cell>
        </row>
        <row r="61">
          <cell r="A61" t="str">
            <v>Private Sector</v>
          </cell>
        </row>
        <row r="62">
          <cell r="A62" t="str">
            <v>Ministry Health (MoH)</v>
          </cell>
        </row>
        <row r="63">
          <cell r="A63" t="str">
            <v>Other Government</v>
          </cell>
        </row>
        <row r="64">
          <cell r="A64" t="str">
            <v>UNDP</v>
          </cell>
        </row>
        <row r="65">
          <cell r="A65" t="str">
            <v>Other Multilateral Organization</v>
          </cell>
        </row>
      </sheetData>
      <sheetData sheetId="35" refreshError="1"/>
      <sheetData sheetId="36">
        <row r="2">
          <cell r="A2" t="str">
            <v>please select…</v>
          </cell>
        </row>
      </sheetData>
      <sheetData sheetId="37" refreshError="1"/>
      <sheetData sheetId="38" refreshError="1"/>
      <sheetData sheetId="39">
        <row r="13">
          <cell r="C13" t="str">
            <v>Tuberculose multirésistante</v>
          </cell>
        </row>
      </sheetData>
      <sheetData sheetId="40">
        <row r="13">
          <cell r="C13" t="str">
            <v>Tuberculose multirésistante</v>
          </cell>
        </row>
      </sheetData>
      <sheetData sheetId="41">
        <row r="13">
          <cell r="C13" t="str">
            <v>Tuberculose multirésistante</v>
          </cell>
        </row>
      </sheetData>
      <sheetData sheetId="42">
        <row r="13">
          <cell r="C13" t="str">
            <v>Tuberculose multirésistante</v>
          </cell>
        </row>
      </sheetData>
      <sheetData sheetId="43"/>
      <sheetData sheetId="44"/>
      <sheetData sheetId="45"/>
      <sheetData sheetId="46"/>
      <sheetData sheetId="47"/>
      <sheetData sheetId="48"/>
      <sheetData sheetId="49"/>
      <sheetData sheetId="50"/>
      <sheetData sheetId="51"/>
      <sheetData sheetId="52"/>
      <sheetData sheetId="53"/>
      <sheetData sheetId="54">
        <row r="2">
          <cell r="A2" t="str">
            <v>please select…</v>
          </cell>
        </row>
      </sheetData>
      <sheetData sheetId="55">
        <row r="2">
          <cell r="A2" t="str">
            <v>please select…</v>
          </cell>
        </row>
      </sheetData>
      <sheetData sheetId="56">
        <row r="2">
          <cell r="A2" t="str">
            <v>please select…</v>
          </cell>
        </row>
      </sheetData>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row r="2">
          <cell r="A2" t="str">
            <v>please select…</v>
          </cell>
        </row>
      </sheetData>
      <sheetData sheetId="69">
        <row r="2">
          <cell r="A2" t="str">
            <v>please select…</v>
          </cell>
        </row>
      </sheetData>
      <sheetData sheetId="70">
        <row r="2">
          <cell r="A2" t="str">
            <v>please select…</v>
          </cell>
        </row>
      </sheetData>
      <sheetData sheetId="71">
        <row r="13">
          <cell r="C13" t="str">
            <v>Tuberculose multirésistante</v>
          </cell>
        </row>
      </sheetData>
      <sheetData sheetId="72"/>
      <sheetData sheetId="73"/>
      <sheetData sheetId="74"/>
      <sheetData sheetId="75"/>
      <sheetData sheetId="76"/>
      <sheetData sheetId="77"/>
      <sheetData sheetId="78">
        <row r="2">
          <cell r="A2" t="str">
            <v>please select…</v>
          </cell>
        </row>
      </sheetData>
      <sheetData sheetId="79">
        <row r="2">
          <cell r="A2" t="str">
            <v>please select…</v>
          </cell>
        </row>
      </sheetData>
      <sheetData sheetId="80">
        <row r="13">
          <cell r="C13" t="str">
            <v>Tuberculose multirésistante</v>
          </cell>
        </row>
      </sheetData>
      <sheetData sheetId="81"/>
      <sheetData sheetId="82"/>
      <sheetData sheetId="83"/>
      <sheetData sheetId="84"/>
      <sheetData sheetId="85"/>
      <sheetData sheetId="86"/>
      <sheetData sheetId="87">
        <row r="2">
          <cell r="A2" t="str">
            <v>please select…</v>
          </cell>
        </row>
      </sheetData>
      <sheetData sheetId="88">
        <row r="2">
          <cell r="A2" t="str">
            <v>please select…</v>
          </cell>
        </row>
      </sheetData>
      <sheetData sheetId="89">
        <row r="2">
          <cell r="A2" t="str">
            <v>please select…</v>
          </cell>
        </row>
      </sheetData>
      <sheetData sheetId="90"/>
      <sheetData sheetId="91"/>
      <sheetData sheetId="92">
        <row r="2">
          <cell r="A2" t="str">
            <v>please select…</v>
          </cell>
        </row>
      </sheetData>
      <sheetData sheetId="93">
        <row r="2">
          <cell r="A2" t="str">
            <v>please select…</v>
          </cell>
        </row>
      </sheetData>
      <sheetData sheetId="94">
        <row r="13">
          <cell r="C13" t="str">
            <v>Tuberculose multirésistante</v>
          </cell>
        </row>
      </sheetData>
      <sheetData sheetId="95"/>
      <sheetData sheetId="96"/>
      <sheetData sheetId="97"/>
      <sheetData sheetId="98"/>
      <sheetData sheetId="99"/>
      <sheetData sheetId="100"/>
      <sheetData sheetId="101"/>
      <sheetData sheetId="102">
        <row r="2">
          <cell r="A2" t="str">
            <v>please select…</v>
          </cell>
        </row>
      </sheetData>
      <sheetData sheetId="103"/>
      <sheetData sheetId="104"/>
      <sheetData sheetId="105"/>
      <sheetData sheetId="106"/>
      <sheetData sheetId="107"/>
      <sheetData sheetId="108"/>
      <sheetData sheetId="109"/>
      <sheetData sheetId="110"/>
      <sheetData sheetId="111">
        <row r="2">
          <cell r="A2" t="str">
            <v>please select…</v>
          </cell>
        </row>
      </sheetData>
      <sheetData sheetId="112">
        <row r="2">
          <cell r="A2" t="str">
            <v>please select…</v>
          </cell>
        </row>
      </sheetData>
      <sheetData sheetId="113"/>
      <sheetData sheetId="114"/>
      <sheetData sheetId="115">
        <row r="2">
          <cell r="A2" t="str">
            <v>please select…</v>
          </cell>
        </row>
      </sheetData>
      <sheetData sheetId="116">
        <row r="2">
          <cell r="A2" t="str">
            <v>please select…</v>
          </cell>
        </row>
      </sheetData>
      <sheetData sheetId="117">
        <row r="2">
          <cell r="A2" t="str">
            <v>please select…</v>
          </cell>
        </row>
      </sheetData>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row r="2">
          <cell r="A2" t="str">
            <v>please select…</v>
          </cell>
        </row>
      </sheetData>
      <sheetData sheetId="141"/>
      <sheetData sheetId="142"/>
      <sheetData sheetId="143"/>
      <sheetData sheetId="144"/>
      <sheetData sheetId="145">
        <row r="2">
          <cell r="A2" t="str">
            <v>please select…</v>
          </cell>
        </row>
      </sheetData>
      <sheetData sheetId="146">
        <row r="2">
          <cell r="A2" t="str">
            <v>please select…</v>
          </cell>
        </row>
      </sheetData>
      <sheetData sheetId="147">
        <row r="2">
          <cell r="A2" t="str">
            <v>please select…</v>
          </cell>
        </row>
      </sheetData>
      <sheetData sheetId="148"/>
      <sheetData sheetId="149">
        <row r="2">
          <cell r="A2" t="str">
            <v>please select…</v>
          </cell>
        </row>
      </sheetData>
      <sheetData sheetId="150">
        <row r="2">
          <cell r="A2" t="str">
            <v>please select…</v>
          </cell>
        </row>
      </sheetData>
      <sheetData sheetId="151"/>
      <sheetData sheetId="152"/>
      <sheetData sheetId="153"/>
      <sheetData sheetId="154"/>
      <sheetData sheetId="155"/>
      <sheetData sheetId="156"/>
      <sheetData sheetId="157"/>
      <sheetData sheetId="158"/>
      <sheetData sheetId="159"/>
      <sheetData sheetId="160"/>
      <sheetData sheetId="161"/>
      <sheetData sheetId="162"/>
      <sheetData sheetId="163">
        <row r="2">
          <cell r="A2" t="str">
            <v>please select…</v>
          </cell>
        </row>
      </sheetData>
      <sheetData sheetId="164"/>
      <sheetData sheetId="165"/>
      <sheetData sheetId="166">
        <row r="2">
          <cell r="A2" t="str">
            <v>please select…</v>
          </cell>
        </row>
      </sheetData>
      <sheetData sheetId="167">
        <row r="2">
          <cell r="A2" t="str">
            <v>please select…</v>
          </cell>
        </row>
      </sheetData>
      <sheetData sheetId="168">
        <row r="13">
          <cell r="C13" t="str">
            <v>Tuberculose multirésistante</v>
          </cell>
        </row>
      </sheetData>
      <sheetData sheetId="169"/>
      <sheetData sheetId="170"/>
      <sheetData sheetId="171"/>
      <sheetData sheetId="172"/>
      <sheetData sheetId="173"/>
      <sheetData sheetId="174">
        <row r="2">
          <cell r="A2" t="str">
            <v>please select…</v>
          </cell>
        </row>
      </sheetData>
      <sheetData sheetId="175"/>
      <sheetData sheetId="176"/>
      <sheetData sheetId="177"/>
      <sheetData sheetId="178"/>
      <sheetData sheetId="179"/>
      <sheetData sheetId="180">
        <row r="2">
          <cell r="A2" t="str">
            <v>please select…</v>
          </cell>
        </row>
      </sheetData>
      <sheetData sheetId="181">
        <row r="2">
          <cell r="A2" t="str">
            <v>please select…</v>
          </cell>
        </row>
      </sheetData>
      <sheetData sheetId="182"/>
      <sheetData sheetId="183"/>
      <sheetData sheetId="184"/>
      <sheetData sheetId="185"/>
      <sheetData sheetId="186"/>
      <sheetData sheetId="187"/>
      <sheetData sheetId="188"/>
      <sheetData sheetId="189">
        <row r="2">
          <cell r="A2" t="str">
            <v>please select…</v>
          </cell>
        </row>
      </sheetData>
      <sheetData sheetId="190">
        <row r="2">
          <cell r="A2" t="str">
            <v>please select…</v>
          </cell>
        </row>
      </sheetData>
      <sheetData sheetId="191"/>
      <sheetData sheetId="192"/>
      <sheetData sheetId="193"/>
      <sheetData sheetId="194"/>
      <sheetData sheetId="195"/>
      <sheetData sheetId="196"/>
      <sheetData sheetId="197"/>
      <sheetData sheetId="198"/>
      <sheetData sheetId="199"/>
      <sheetData sheetId="200">
        <row r="2">
          <cell r="A2" t="str">
            <v>please select…</v>
          </cell>
        </row>
      </sheetData>
      <sheetData sheetId="201">
        <row r="2">
          <cell r="A2" t="str">
            <v>please select…</v>
          </cell>
        </row>
      </sheetData>
      <sheetData sheetId="202">
        <row r="2">
          <cell r="A2" t="str">
            <v>please select…</v>
          </cell>
        </row>
      </sheetData>
      <sheetData sheetId="203">
        <row r="2">
          <cell r="A2" t="str">
            <v>please select…</v>
          </cell>
        </row>
      </sheetData>
      <sheetData sheetId="204">
        <row r="13">
          <cell r="C13" t="str">
            <v>Tuberculose multirésistante</v>
          </cell>
        </row>
      </sheetData>
      <sheetData sheetId="205"/>
      <sheetData sheetId="206"/>
      <sheetData sheetId="207">
        <row r="2">
          <cell r="A2" t="str">
            <v>please select…</v>
          </cell>
        </row>
      </sheetData>
      <sheetData sheetId="208">
        <row r="2">
          <cell r="A2" t="str">
            <v>please select…</v>
          </cell>
        </row>
      </sheetData>
      <sheetData sheetId="209" refreshError="1"/>
      <sheetData sheetId="210" refreshError="1"/>
      <sheetData sheetId="211" refreshError="1"/>
      <sheetData sheetId="212" refreshError="1"/>
      <sheetData sheetId="213" refreshError="1"/>
      <sheetData sheetId="214" refreshError="1"/>
      <sheetData sheetId="215" refreshError="1"/>
      <sheetData sheetId="216"/>
      <sheetData sheetId="217">
        <row r="2">
          <cell r="A2" t="str">
            <v>please select…</v>
          </cell>
        </row>
      </sheetData>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row r="2">
          <cell r="A2" t="str">
            <v>please select…</v>
          </cell>
        </row>
      </sheetData>
      <sheetData sheetId="244">
        <row r="2">
          <cell r="A2" t="str">
            <v>please select…</v>
          </cell>
        </row>
      </sheetData>
      <sheetData sheetId="245"/>
      <sheetData sheetId="246"/>
      <sheetData sheetId="247"/>
      <sheetData sheetId="248"/>
      <sheetData sheetId="249"/>
      <sheetData sheetId="250"/>
      <sheetData sheetId="251"/>
      <sheetData sheetId="252"/>
      <sheetData sheetId="253"/>
      <sheetData sheetId="254"/>
      <sheetData sheetId="255"/>
      <sheetData sheetId="256">
        <row r="2">
          <cell r="A2" t="str">
            <v>please select…</v>
          </cell>
        </row>
      </sheetData>
      <sheetData sheetId="257">
        <row r="2">
          <cell r="A2" t="str">
            <v>please select…</v>
          </cell>
        </row>
      </sheetData>
      <sheetData sheetId="258">
        <row r="13">
          <cell r="C13" t="str">
            <v>Tuberculose multirésistante</v>
          </cell>
        </row>
      </sheetData>
      <sheetData sheetId="259"/>
      <sheetData sheetId="260"/>
      <sheetData sheetId="261"/>
      <sheetData sheetId="262"/>
      <sheetData sheetId="263"/>
      <sheetData sheetId="264"/>
      <sheetData sheetId="265"/>
      <sheetData sheetId="266"/>
      <sheetData sheetId="267"/>
      <sheetData sheetId="268"/>
      <sheetData sheetId="269"/>
      <sheetData sheetId="270"/>
      <sheetData sheetId="271">
        <row r="2">
          <cell r="A2" t="str">
            <v>please select…</v>
          </cell>
        </row>
      </sheetData>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row r="2">
          <cell r="A2" t="str">
            <v>please select…</v>
          </cell>
        </row>
      </sheetData>
      <sheetData sheetId="298">
        <row r="2">
          <cell r="A2" t="str">
            <v>please select…</v>
          </cell>
        </row>
      </sheetData>
      <sheetData sheetId="299"/>
      <sheetData sheetId="300"/>
      <sheetData sheetId="301"/>
      <sheetData sheetId="302"/>
      <sheetData sheetId="303"/>
      <sheetData sheetId="304"/>
      <sheetData sheetId="305"/>
      <sheetData sheetId="306"/>
      <sheetData sheetId="307"/>
      <sheetData sheetId="308"/>
      <sheetData sheetId="309"/>
      <sheetData sheetId="310">
        <row r="2">
          <cell r="A2" t="str">
            <v>please select…</v>
          </cell>
        </row>
      </sheetData>
      <sheetData sheetId="311">
        <row r="2">
          <cell r="A2" t="str">
            <v>please select…</v>
          </cell>
        </row>
      </sheetData>
      <sheetData sheetId="312">
        <row r="13">
          <cell r="C13" t="str">
            <v>Tuberculose multirésistante</v>
          </cell>
        </row>
      </sheetData>
      <sheetData sheetId="313"/>
      <sheetData sheetId="314"/>
      <sheetData sheetId="315"/>
      <sheetData sheetId="316"/>
      <sheetData sheetId="317"/>
      <sheetData sheetId="318"/>
      <sheetData sheetId="319"/>
      <sheetData sheetId="320"/>
      <sheetData sheetId="321"/>
      <sheetData sheetId="322"/>
      <sheetData sheetId="323"/>
      <sheetData sheetId="324" refreshError="1"/>
      <sheetData sheetId="325" refreshError="1"/>
      <sheetData sheetId="326">
        <row r="2">
          <cell r="A2" t="str">
            <v>Light House</v>
          </cell>
        </row>
      </sheetData>
      <sheetData sheetId="327"/>
      <sheetData sheetId="328"/>
      <sheetData sheetId="329"/>
      <sheetData sheetId="330"/>
      <sheetData sheetId="331"/>
      <sheetData sheetId="332"/>
      <sheetData sheetId="333"/>
      <sheetData sheetId="334"/>
      <sheetData sheetId="335">
        <row r="2">
          <cell r="A2" t="str">
            <v>please select…</v>
          </cell>
        </row>
      </sheetData>
      <sheetData sheetId="336">
        <row r="2">
          <cell r="A2" t="str">
            <v>please select…</v>
          </cell>
        </row>
      </sheetData>
      <sheetData sheetId="337">
        <row r="13">
          <cell r="C13" t="str">
            <v>Tuberculose multirésistante</v>
          </cell>
        </row>
      </sheetData>
      <sheetData sheetId="338"/>
      <sheetData sheetId="339"/>
      <sheetData sheetId="340"/>
      <sheetData sheetId="341"/>
      <sheetData sheetId="342"/>
      <sheetData sheetId="343">
        <row r="2">
          <cell r="A2" t="str">
            <v>please select…</v>
          </cell>
        </row>
      </sheetData>
      <sheetData sheetId="344" refreshError="1"/>
      <sheetData sheetId="345" refreshError="1"/>
      <sheetData sheetId="346" refreshError="1"/>
      <sheetData sheetId="34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olution_ResultTransfer"/>
      <sheetName val="Progress_Results"/>
      <sheetName val="PF_ThresholdBaseline"/>
      <sheetName val="PF_Year1"/>
      <sheetName val="PF_Year2"/>
      <sheetName val="PF_Year3"/>
      <sheetName val="PF_DROPDOWN"/>
      <sheetName val="List_CCM_Names"/>
      <sheetName val="Data_Extraction_Table_1"/>
      <sheetName val="Data_Extraction_Table_2"/>
      <sheetName val="Data_Extraction_Table_3"/>
      <sheetName val="DEMO_FILLED_PF_EvolutionTransit"/>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3A6241-3D9F-485D-9C3A-A63F7AF1DE90}" name="Table1" displayName="Table1" ref="A64:A71" totalsRowShown="0" headerRowDxfId="79" dataDxfId="77" headerRowBorderDxfId="78" tableBorderDxfId="76" totalsRowBorderDxfId="75">
  <autoFilter ref="A64:A71" xr:uid="{AC3A6241-3D9F-485D-9C3A-A63F7AF1DE90}"/>
  <tableColumns count="1">
    <tableColumn id="1" xr3:uid="{FF5F8C1C-D27B-4879-A780-22AE7B48CD7A}" name="Areas" dataDxfId="7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9BB0B14-5CC9-49C4-8D8D-CF61BD8CB047}" name="Table61712" displayName="Table61712" ref="C93:C98" headerRowCount="0" totalsRowShown="0" headerRowDxfId="34" dataDxfId="32" headerRowBorderDxfId="33" tableBorderDxfId="31" totalsRowBorderDxfId="30">
  <tableColumns count="1">
    <tableColumn id="1" xr3:uid="{82D4DA47-0D39-44BC-9938-9354BF8CC11E}" name="All TA &amp; costed activities Engagement" headerRowDxfId="29" dataDxfId="2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85228A2-2FD9-4449-A2CB-F190A6CC4739}" name="Table61713" displayName="Table61713" ref="E93" headerRowCount="0" totalsRowShown="0" headerRowDxfId="27" dataDxfId="25" headerRowBorderDxfId="26" tableBorderDxfId="24" totalsRowBorderDxfId="23">
  <tableColumns count="1">
    <tableColumn id="1" xr3:uid="{A4AD83D0-9CF7-49BF-BF68-F799E2CA57A3}" name="Only TA Support Positioning" headerRowDxfId="22" dataDxfId="21"/>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5F4C998-F27C-4A87-97BC-61089C84BEEA}" name="Table6171314" displayName="Table6171314" ref="G93:G96" headerRowCount="0" totalsRowShown="0" headerRowDxfId="20" dataDxfId="18" headerRowBorderDxfId="19" tableBorderDxfId="17" totalsRowBorderDxfId="16">
  <tableColumns count="1">
    <tableColumn id="1" xr3:uid="{3C313FC4-FB20-4836-8B59-8820425ACD2D}" name="All TA &amp; costed activities Positioning" headerRowDxfId="15" dataDxfId="14"/>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10ECC16-6982-4F98-A201-21AB7C8CFE78}" name="Table6171315" displayName="Table6171315" ref="C101:C103" headerRowCount="0" totalsRowShown="0" headerRowDxfId="13" dataDxfId="11" headerRowBorderDxfId="12" tableBorderDxfId="10" totalsRowBorderDxfId="9">
  <tableColumns count="1">
    <tableColumn id="1" xr3:uid="{FD0F5965-087C-47CF-9B88-2A4EB78E3AC0}" name="Only TA Support Operations" headerRowDxfId="8" dataDxfId="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37264DD-3D3D-48FD-9B02-71745270C206}" name="Table617131516" displayName="Table617131516" ref="E101:E105" headerRowCount="0" totalsRowShown="0" headerRowDxfId="6" dataDxfId="4" headerRowBorderDxfId="5" tableBorderDxfId="3" totalsRowBorderDxfId="2">
  <tableColumns count="1">
    <tableColumn id="1" xr3:uid="{47D3DD81-D656-420C-8890-52BBAE27DC65}" name="All TA &amp; costed activities Operations" headerRowDxfId="1" dataDxfId="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E6EC09-1F1E-4ED4-9C31-4FC76CE7AE3E}" name="Table263" displayName="Table263" ref="A72:A78" totalsRowShown="0" headerRowDxfId="73" dataDxfId="72">
  <autoFilter ref="A72:A78" xr:uid="{C9E6EC09-1F1E-4ED4-9C31-4FC76CE7AE3E}"/>
  <sortState xmlns:xlrd2="http://schemas.microsoft.com/office/spreadsheetml/2017/richdata2" ref="A73:A76">
    <sortCondition ref="A35"/>
  </sortState>
  <tableColumns count="1">
    <tableColumn id="1" xr3:uid="{3EB29833-C279-46D8-9A47-BDCF43341B90}" name="CCM Evolution Oversight" dataDxfId="7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4B7B4CE-34A5-49C8-A70E-16F3E02BDAF3}" name="Table68" displayName="Table68" ref="C72:C78" totalsRowShown="0" headerRowDxfId="70" dataDxfId="69">
  <autoFilter ref="C72:C78" xr:uid="{64B7B4CE-34A5-49C8-A70E-16F3E02BDAF3}"/>
  <sortState xmlns:xlrd2="http://schemas.microsoft.com/office/spreadsheetml/2017/richdata2" ref="C73:C74">
    <sortCondition ref="C87"/>
  </sortState>
  <tableColumns count="1">
    <tableColumn id="1" xr3:uid="{7B1B003B-CE68-4D4A-9AEC-8B90ACE0ACAB}" name="CCM Evolution Engagement" dataDxfId="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922A3A7-38C0-4D0C-A12F-244DBA5F6CB5}" name="Table115" displayName="Table115" ref="E72:E76" totalsRowShown="0" headerRowDxfId="67" dataDxfId="66">
  <autoFilter ref="E72:E76" xr:uid="{4922A3A7-38C0-4D0C-A12F-244DBA5F6CB5}"/>
  <sortState xmlns:xlrd2="http://schemas.microsoft.com/office/spreadsheetml/2017/richdata2" ref="E73:E75">
    <sortCondition ref="E96"/>
  </sortState>
  <tableColumns count="1">
    <tableColumn id="1" xr3:uid="{0C83B2D2-686A-4939-B759-471A09096F56}" name="CCM Evolution Positioning " dataDxfId="6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B1F98BD-339F-4116-B522-57EAE73AB473}" name="Table226" displayName="Table226" ref="G72:G77" totalsRowShown="0" headerRowDxfId="64" dataDxfId="63">
  <autoFilter ref="G72:G77" xr:uid="{DB1F98BD-339F-4116-B522-57EAE73AB473}"/>
  <sortState xmlns:xlrd2="http://schemas.microsoft.com/office/spreadsheetml/2017/richdata2" ref="G73:G76">
    <sortCondition ref="G95"/>
  </sortState>
  <tableColumns count="1">
    <tableColumn id="1" xr3:uid="{19214871-3D3A-4CA2-9004-2C94B0923092}" name="CCM Evolution Operations" dataDxfId="6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F16F413-EE0A-4D73-B70D-1D8EA897B24C}" name="Table314" displayName="Table314" ref="A84:A87" totalsRowShown="0" headerRowDxfId="61" dataDxfId="59" headerRowBorderDxfId="60" tableBorderDxfId="58" totalsRowBorderDxfId="57">
  <autoFilter ref="A84:A87" xr:uid="{6F16F413-EE0A-4D73-B70D-1D8EA897B24C}"/>
  <tableColumns count="1">
    <tableColumn id="1" xr3:uid="{B6682DAD-5BCC-4A02-9E73-75B2A29E6947}" name="Select Interventions for improvement" dataDxfId="56"/>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BA534A3-4E45-4C8E-9DA5-35A0EA516BF5}" name="Table415" displayName="Table415" ref="C85:C87" headerRowCount="0" totalsRowShown="0" headerRowDxfId="55" dataDxfId="53" headerRowBorderDxfId="54" tableBorderDxfId="52" totalsRowBorderDxfId="51">
  <tableColumns count="1">
    <tableColumn id="1" xr3:uid="{60C85447-B469-47B8-BE05-C82CC220E96C}" name="Only TA Support Oversight" headerRowDxfId="50" dataDxfId="49"/>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4C36E20-4C7C-485B-ACAB-486B8B8E836D}" name="Table516" displayName="Table516" ref="E85:E90" headerRowCount="0" totalsRowShown="0" headerRowDxfId="48" dataDxfId="46" headerRowBorderDxfId="47" tableBorderDxfId="45" totalsRowBorderDxfId="44">
  <tableColumns count="1">
    <tableColumn id="1" xr3:uid="{0CAA6C78-826E-43C2-B83A-734D87016D0B}" name="All TA and costed activities Oversight" headerRowDxfId="43" dataDxfId="42"/>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3CF7F85-E084-4DF6-B68B-5EA6D1328378}" name="Table617" displayName="Table617" ref="G85:G86" headerRowCount="0" totalsRowShown="0" headerRowDxfId="41" dataDxfId="39" headerRowBorderDxfId="40" tableBorderDxfId="38" totalsRowBorderDxfId="37">
  <tableColumns count="1">
    <tableColumn id="1" xr3:uid="{0039ADBA-7003-4415-8056-DBC1B97158B6}" name="Only TA Support Engagement" headerRowDxfId="36" dataDxfId="35"/>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8.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4B2B3-1A32-47D1-ACE7-68F412EB228E}">
  <sheetPr codeName="Sheet5">
    <tabColor theme="7"/>
    <pageSetUpPr fitToPage="1"/>
  </sheetPr>
  <dimension ref="A1:G32"/>
  <sheetViews>
    <sheetView showGridLines="0" zoomScale="60" zoomScaleNormal="60" workbookViewId="0">
      <selection sqref="A1:XFD1048576"/>
    </sheetView>
  </sheetViews>
  <sheetFormatPr defaultColWidth="8.625" defaultRowHeight="15" x14ac:dyDescent="0.25"/>
  <cols>
    <col min="1" max="1" width="16.625" style="221" customWidth="1"/>
    <col min="2" max="2" width="54.5" style="221" customWidth="1"/>
    <col min="3" max="3" width="83.125" style="221" customWidth="1"/>
    <col min="4" max="4" width="22.375" style="221" customWidth="1"/>
    <col min="5" max="5" width="32.125" style="221" customWidth="1"/>
    <col min="6" max="6" width="168" style="221" customWidth="1"/>
    <col min="7" max="7" width="101.625" style="251" customWidth="1"/>
    <col min="8" max="8" width="9.625" style="221" customWidth="1"/>
    <col min="9" max="9" width="7.625" style="221" customWidth="1"/>
    <col min="10" max="16384" width="8.625" style="221"/>
  </cols>
  <sheetData>
    <row r="1" spans="1:7" ht="14.45" customHeight="1" x14ac:dyDescent="0.25">
      <c r="A1" s="273" t="s">
        <v>684</v>
      </c>
      <c r="B1" s="273"/>
      <c r="C1" s="273"/>
      <c r="D1" s="273"/>
      <c r="E1" s="273"/>
      <c r="F1" s="273"/>
    </row>
    <row r="2" spans="1:7" ht="14.1" customHeight="1" x14ac:dyDescent="0.25"/>
    <row r="3" spans="1:7" ht="15.75" x14ac:dyDescent="0.25">
      <c r="A3" s="274" t="s">
        <v>676</v>
      </c>
      <c r="B3" s="274"/>
      <c r="C3" s="274"/>
      <c r="D3" s="274"/>
      <c r="E3" s="274"/>
      <c r="F3" s="274"/>
    </row>
    <row r="5" spans="1:7" ht="15.75" x14ac:dyDescent="0.25">
      <c r="A5" s="275" t="s">
        <v>685</v>
      </c>
      <c r="B5" s="275"/>
      <c r="C5" s="275"/>
      <c r="D5" s="273" t="s">
        <v>675</v>
      </c>
      <c r="E5" s="273"/>
      <c r="F5" s="250" t="s">
        <v>674</v>
      </c>
      <c r="G5" s="252"/>
    </row>
    <row r="6" spans="1:7" ht="22.5" customHeight="1" x14ac:dyDescent="0.25">
      <c r="A6" s="276" t="s">
        <v>51</v>
      </c>
      <c r="B6" s="277"/>
      <c r="C6" s="278"/>
      <c r="D6" s="216" t="s">
        <v>673</v>
      </c>
      <c r="E6" s="239">
        <v>4</v>
      </c>
      <c r="F6" s="253" t="s">
        <v>721</v>
      </c>
    </row>
    <row r="7" spans="1:7" ht="15.75" x14ac:dyDescent="0.25">
      <c r="A7" s="279"/>
      <c r="B7" s="280"/>
      <c r="C7" s="281"/>
      <c r="D7" s="216" t="s">
        <v>672</v>
      </c>
      <c r="E7" s="239" t="s">
        <v>722</v>
      </c>
      <c r="F7" s="245" t="s">
        <v>671</v>
      </c>
    </row>
    <row r="8" spans="1:7" ht="42.75" customHeight="1" x14ac:dyDescent="0.25">
      <c r="A8" s="282"/>
      <c r="B8" s="283"/>
      <c r="C8" s="284"/>
      <c r="D8" s="216" t="s">
        <v>670</v>
      </c>
      <c r="E8" s="239">
        <v>2020</v>
      </c>
      <c r="F8" s="253" t="s">
        <v>723</v>
      </c>
    </row>
    <row r="9" spans="1:7" x14ac:dyDescent="0.25">
      <c r="A9" s="217"/>
      <c r="B9" s="217"/>
      <c r="C9" s="217"/>
      <c r="D9" s="217"/>
      <c r="E9" s="217"/>
      <c r="F9" s="254"/>
    </row>
    <row r="10" spans="1:7" x14ac:dyDescent="0.25">
      <c r="A10" s="217"/>
      <c r="B10" s="217"/>
      <c r="C10" s="217"/>
      <c r="D10" s="217"/>
      <c r="E10" s="217"/>
      <c r="F10" s="254"/>
    </row>
    <row r="12" spans="1:7" ht="15.75" x14ac:dyDescent="0.25">
      <c r="A12" s="274" t="s">
        <v>669</v>
      </c>
      <c r="B12" s="274"/>
      <c r="C12" s="274"/>
      <c r="D12" s="274"/>
      <c r="E12" s="274"/>
      <c r="F12" s="274"/>
    </row>
    <row r="13" spans="1:7" ht="46.5" customHeight="1" x14ac:dyDescent="0.25">
      <c r="A13" s="207" t="s">
        <v>668</v>
      </c>
      <c r="B13" s="207" t="s">
        <v>667</v>
      </c>
      <c r="C13" s="207" t="s">
        <v>250</v>
      </c>
      <c r="D13" s="207" t="s">
        <v>686</v>
      </c>
      <c r="E13" s="207" t="s">
        <v>666</v>
      </c>
      <c r="F13" s="207" t="s">
        <v>665</v>
      </c>
    </row>
    <row r="14" spans="1:7" ht="30" customHeight="1" x14ac:dyDescent="0.25">
      <c r="A14" s="264" t="s">
        <v>110</v>
      </c>
      <c r="B14" s="222" t="s">
        <v>691</v>
      </c>
      <c r="C14" s="219" t="s">
        <v>718</v>
      </c>
      <c r="D14" s="246">
        <v>2</v>
      </c>
      <c r="E14" s="240" t="s">
        <v>687</v>
      </c>
      <c r="F14" s="255" t="s">
        <v>724</v>
      </c>
    </row>
    <row r="15" spans="1:7" ht="30" customHeight="1" x14ac:dyDescent="0.25">
      <c r="A15" s="264"/>
      <c r="B15" s="222" t="s">
        <v>692</v>
      </c>
      <c r="C15" s="219" t="s">
        <v>707</v>
      </c>
      <c r="D15" s="246">
        <v>2</v>
      </c>
      <c r="E15" s="240" t="s">
        <v>687</v>
      </c>
      <c r="F15" s="256" t="s">
        <v>725</v>
      </c>
    </row>
    <row r="16" spans="1:7" ht="30" customHeight="1" x14ac:dyDescent="0.25">
      <c r="A16" s="264"/>
      <c r="B16" s="222" t="s">
        <v>693</v>
      </c>
      <c r="C16" s="219" t="s">
        <v>708</v>
      </c>
      <c r="D16" s="246">
        <v>0</v>
      </c>
      <c r="E16" s="240" t="s">
        <v>687</v>
      </c>
      <c r="F16" s="255" t="s">
        <v>726</v>
      </c>
    </row>
    <row r="17" spans="1:7" ht="30" customHeight="1" x14ac:dyDescent="0.25">
      <c r="A17" s="265"/>
      <c r="B17" s="222" t="s">
        <v>694</v>
      </c>
      <c r="C17" s="223" t="s">
        <v>709</v>
      </c>
      <c r="D17" s="246">
        <v>2</v>
      </c>
      <c r="E17" s="240" t="s">
        <v>687</v>
      </c>
      <c r="F17" s="255" t="s">
        <v>727</v>
      </c>
      <c r="G17" s="243" t="s">
        <v>728</v>
      </c>
    </row>
    <row r="18" spans="1:7" ht="30" customHeight="1" x14ac:dyDescent="0.25">
      <c r="A18" s="224"/>
      <c r="B18" s="225"/>
      <c r="C18" s="220"/>
      <c r="D18" s="247"/>
      <c r="E18" s="226"/>
      <c r="F18" s="257"/>
    </row>
    <row r="19" spans="1:7" ht="30" customHeight="1" x14ac:dyDescent="0.25">
      <c r="A19" s="266" t="s">
        <v>113</v>
      </c>
      <c r="B19" s="222" t="s">
        <v>695</v>
      </c>
      <c r="C19" s="219" t="s">
        <v>710</v>
      </c>
      <c r="D19" s="246">
        <v>2</v>
      </c>
      <c r="E19" s="241" t="s">
        <v>687</v>
      </c>
      <c r="F19" s="255" t="s">
        <v>729</v>
      </c>
    </row>
    <row r="20" spans="1:7" ht="30" customHeight="1" x14ac:dyDescent="0.25">
      <c r="A20" s="266"/>
      <c r="B20" s="222" t="s">
        <v>696</v>
      </c>
      <c r="C20" s="219" t="s">
        <v>730</v>
      </c>
      <c r="D20" s="246">
        <v>2</v>
      </c>
      <c r="E20" s="241" t="s">
        <v>687</v>
      </c>
      <c r="F20" s="255" t="s">
        <v>731</v>
      </c>
    </row>
    <row r="21" spans="1:7" ht="30" customHeight="1" x14ac:dyDescent="0.25">
      <c r="A21" s="266"/>
      <c r="B21" s="222" t="s">
        <v>697</v>
      </c>
      <c r="C21" s="219" t="s">
        <v>711</v>
      </c>
      <c r="D21" s="246">
        <v>2</v>
      </c>
      <c r="E21" s="241" t="s">
        <v>687</v>
      </c>
      <c r="F21" s="255" t="s">
        <v>732</v>
      </c>
    </row>
    <row r="22" spans="1:7" ht="30" customHeight="1" x14ac:dyDescent="0.25">
      <c r="A22" s="267"/>
      <c r="B22" s="222" t="s">
        <v>698</v>
      </c>
      <c r="C22" s="219" t="s">
        <v>719</v>
      </c>
      <c r="D22" s="246">
        <v>0</v>
      </c>
      <c r="E22" s="241" t="s">
        <v>687</v>
      </c>
      <c r="F22" s="255" t="s">
        <v>733</v>
      </c>
      <c r="G22" s="243" t="s">
        <v>734</v>
      </c>
    </row>
    <row r="23" spans="1:7" ht="30" customHeight="1" x14ac:dyDescent="0.25">
      <c r="A23" s="224"/>
      <c r="B23" s="227"/>
      <c r="C23" s="226"/>
      <c r="D23" s="248"/>
      <c r="E23" s="226"/>
      <c r="F23" s="258"/>
    </row>
    <row r="24" spans="1:7" ht="30" customHeight="1" x14ac:dyDescent="0.25">
      <c r="A24" s="268" t="s">
        <v>114</v>
      </c>
      <c r="B24" s="228" t="s">
        <v>699</v>
      </c>
      <c r="C24" s="219" t="s">
        <v>735</v>
      </c>
      <c r="D24" s="246">
        <v>1</v>
      </c>
      <c r="E24" s="241" t="s">
        <v>687</v>
      </c>
      <c r="F24" s="255" t="s">
        <v>736</v>
      </c>
    </row>
    <row r="25" spans="1:7" ht="30" customHeight="1" x14ac:dyDescent="0.25">
      <c r="A25" s="269"/>
      <c r="B25" s="228" t="s">
        <v>700</v>
      </c>
      <c r="C25" s="244" t="s">
        <v>712</v>
      </c>
      <c r="D25" s="246">
        <v>1</v>
      </c>
      <c r="E25" s="241" t="s">
        <v>687</v>
      </c>
      <c r="F25" s="255" t="s">
        <v>737</v>
      </c>
    </row>
    <row r="26" spans="1:7" ht="30" customHeight="1" x14ac:dyDescent="0.25">
      <c r="A26" s="269"/>
      <c r="B26" s="222" t="s">
        <v>701</v>
      </c>
      <c r="C26" s="219" t="s">
        <v>713</v>
      </c>
      <c r="D26" s="246">
        <v>2</v>
      </c>
      <c r="E26" s="241" t="s">
        <v>687</v>
      </c>
      <c r="F26" s="255" t="s">
        <v>738</v>
      </c>
      <c r="G26" s="259"/>
    </row>
    <row r="27" spans="1:7" ht="30" customHeight="1" x14ac:dyDescent="0.25">
      <c r="A27" s="270"/>
      <c r="B27" s="222" t="s">
        <v>702</v>
      </c>
      <c r="C27" s="219" t="s">
        <v>714</v>
      </c>
      <c r="D27" s="246">
        <v>1</v>
      </c>
      <c r="E27" s="241" t="s">
        <v>687</v>
      </c>
      <c r="F27" s="255" t="s">
        <v>739</v>
      </c>
      <c r="G27" s="243" t="s">
        <v>740</v>
      </c>
    </row>
    <row r="28" spans="1:7" ht="30" customHeight="1" x14ac:dyDescent="0.25">
      <c r="A28" s="218"/>
      <c r="B28" s="229"/>
      <c r="C28" s="230"/>
      <c r="D28" s="249"/>
      <c r="E28" s="242"/>
      <c r="F28" s="260"/>
    </row>
    <row r="29" spans="1:7" ht="30" customHeight="1" x14ac:dyDescent="0.25">
      <c r="A29" s="271" t="s">
        <v>118</v>
      </c>
      <c r="B29" s="231" t="s">
        <v>703</v>
      </c>
      <c r="C29" s="219" t="s">
        <v>715</v>
      </c>
      <c r="D29" s="246">
        <v>2</v>
      </c>
      <c r="E29" s="241" t="s">
        <v>687</v>
      </c>
      <c r="F29" s="255" t="s">
        <v>741</v>
      </c>
    </row>
    <row r="30" spans="1:7" ht="30" customHeight="1" x14ac:dyDescent="0.25">
      <c r="A30" s="272"/>
      <c r="B30" s="231" t="s">
        <v>704</v>
      </c>
      <c r="C30" s="223" t="s">
        <v>716</v>
      </c>
      <c r="D30" s="246">
        <v>2</v>
      </c>
      <c r="E30" s="241" t="s">
        <v>687</v>
      </c>
      <c r="F30" s="255" t="s">
        <v>742</v>
      </c>
    </row>
    <row r="31" spans="1:7" ht="30" customHeight="1" x14ac:dyDescent="0.25">
      <c r="A31" s="272"/>
      <c r="B31" s="232" t="s">
        <v>705</v>
      </c>
      <c r="C31" s="219" t="s">
        <v>717</v>
      </c>
      <c r="D31" s="246">
        <v>2</v>
      </c>
      <c r="E31" s="241" t="s">
        <v>687</v>
      </c>
      <c r="F31" s="261" t="s">
        <v>743</v>
      </c>
    </row>
    <row r="32" spans="1:7" ht="30" customHeight="1" x14ac:dyDescent="0.25">
      <c r="A32" s="272"/>
      <c r="B32" s="232" t="s">
        <v>706</v>
      </c>
      <c r="C32" s="219" t="s">
        <v>720</v>
      </c>
      <c r="D32" s="246">
        <v>3</v>
      </c>
      <c r="E32" s="241" t="s">
        <v>687</v>
      </c>
      <c r="F32" s="262" t="s">
        <v>744</v>
      </c>
      <c r="G32" s="243" t="s">
        <v>745</v>
      </c>
    </row>
  </sheetData>
  <mergeCells count="10">
    <mergeCell ref="A14:A17"/>
    <mergeCell ref="A19:A22"/>
    <mergeCell ref="A24:A27"/>
    <mergeCell ref="A29:A32"/>
    <mergeCell ref="A1:F1"/>
    <mergeCell ref="A3:F3"/>
    <mergeCell ref="A5:C5"/>
    <mergeCell ref="D5:E5"/>
    <mergeCell ref="A6:C8"/>
    <mergeCell ref="A12:F12"/>
  </mergeCells>
  <conditionalFormatting sqref="E14 E25:E27 E19:E22">
    <cfRule type="expression" dxfId="557" priority="3">
      <formula>ISBLANK(E14)</formula>
    </cfRule>
  </conditionalFormatting>
  <conditionalFormatting sqref="E15:E17">
    <cfRule type="expression" dxfId="556" priority="2">
      <formula>ISBLANK(E15)</formula>
    </cfRule>
  </conditionalFormatting>
  <conditionalFormatting sqref="E24">
    <cfRule type="expression" dxfId="555" priority="1">
      <formula>ISBLANK(E24)</formula>
    </cfRule>
  </conditionalFormatting>
  <dataValidations count="3">
    <dataValidation type="list" operator="greaterThan" allowBlank="1" showInputMessage="1" showErrorMessage="1" errorTitle="Date" error="Please select from the dropdown menu" sqref="E7" xr:uid="{E4CA8485-87CC-4946-AC0D-A5A01081B275}">
      <formula1>Month</formula1>
    </dataValidation>
    <dataValidation type="list" operator="greaterThan" allowBlank="1" showInputMessage="1" showErrorMessage="1" errorTitle="Date" error="Please select from the dropdown menu" sqref="E6" xr:uid="{41C9E06E-06A9-41E8-930C-1981A1438473}">
      <formula1>Day</formula1>
    </dataValidation>
    <dataValidation type="list" allowBlank="1" showInputMessage="1" showErrorMessage="1" sqref="A6:C8" xr:uid="{56ED1947-11FC-4FD3-9097-32DCA4799FB9}">
      <formula1>Name_of_CCM</formula1>
    </dataValidation>
  </dataValidations>
  <pageMargins left="0.7" right="0.7" top="0.75" bottom="0.75" header="0.3" footer="0.3"/>
  <pageSetup paperSize="9" scale="3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B0DAB-FB31-4B05-8812-1F0963A662EC}">
  <sheetPr codeName="Sheet8"/>
  <dimension ref="A1:X96"/>
  <sheetViews>
    <sheetView workbookViewId="0">
      <selection sqref="A1:XFD1048576"/>
    </sheetView>
  </sheetViews>
  <sheetFormatPr defaultColWidth="8.625" defaultRowHeight="15" x14ac:dyDescent="0.25"/>
  <cols>
    <col min="1" max="1" width="8.625" style="15"/>
    <col min="2" max="9" width="10.625" style="17" customWidth="1"/>
    <col min="10" max="10" width="12" style="17" customWidth="1"/>
    <col min="11" max="23" width="10.625" style="17" customWidth="1"/>
    <col min="24" max="16384" width="8.625" style="17"/>
  </cols>
  <sheetData>
    <row r="1" spans="1:24" s="15" customFormat="1" ht="15.75" thickBot="1" x14ac:dyDescent="0.3">
      <c r="A1" s="13"/>
      <c r="B1" s="13" t="str">
        <f>EN_PF_Year3!$B$13</f>
        <v>Coordinating Mechanism Name</v>
      </c>
      <c r="C1" s="13" t="str">
        <f>EN_PF_Year3!B14</f>
        <v>Did the CM do a qualitative assessment (baseline) before this performance period?</v>
      </c>
      <c r="D1" s="13" t="str">
        <f>EN_PF_Year3!B15</f>
        <v>Does the CM have a Funding Agreement with the Global Fund?</v>
      </c>
      <c r="E1" s="13" t="str">
        <f>EN_PF_Year3!B17</f>
        <v>Funding Agreement name</v>
      </c>
      <c r="F1" s="13" t="str">
        <f>EN_PF_Year3!B18</f>
        <v>Agreement start date (day-month-year)</v>
      </c>
      <c r="G1" s="13" t="str">
        <f>EN_PF_Year3!B19</f>
        <v>Agreement end date (day-month-year)</v>
      </c>
      <c r="H1" s="13" t="str">
        <f>EN_PF_Year3!B20</f>
        <v>Agreement Year under Performance Review</v>
      </c>
      <c r="I1" s="13" t="str">
        <f>EN_PF_Year3!B21</f>
        <v>Evaluation type</v>
      </c>
      <c r="J1" s="13" t="str">
        <f>EN_PF_Year3!H13</f>
        <v>Performance Evaluation Cycle - Starting Year</v>
      </c>
      <c r="K1" s="13" t="str">
        <f>EN_PF_Year3!H14</f>
        <v>Performance Evaluation Cycle Year</v>
      </c>
      <c r="L1" s="13" t="str">
        <f>EN_PF_Year3!B25</f>
        <v>Area</v>
      </c>
      <c r="M1" s="13" t="str">
        <f>EN_PF_Year3!C25</f>
        <v>Performance Objective</v>
      </c>
      <c r="N1" s="13" t="s">
        <v>149</v>
      </c>
      <c r="O1" s="13" t="s">
        <v>447</v>
      </c>
      <c r="P1" s="13" t="s">
        <v>448</v>
      </c>
      <c r="Q1" s="13" t="str">
        <f>EN_PF_Year3!D25</f>
        <v>Annual Check</v>
      </c>
      <c r="R1" s="13" t="str">
        <f>EN_PF_Year3!G25</f>
        <v>Achievements</v>
      </c>
      <c r="S1" s="13" t="str">
        <f>EN_PF_Year3!H25</f>
        <v>Scores</v>
      </c>
      <c r="T1" s="13" t="str">
        <f>EN_PF_Year3!I25</f>
        <v>Comments</v>
      </c>
      <c r="U1" s="13" t="str">
        <f>EN_PF_Year3!J25</f>
        <v>Means of verification</v>
      </c>
      <c r="V1" s="13" t="s">
        <v>449</v>
      </c>
      <c r="W1" s="13" t="str">
        <f>EN_PF_Year3!L25</f>
        <v>GF validated score</v>
      </c>
      <c r="X1" s="13" t="str">
        <f>EN_PF_Year3!M25</f>
        <v>Global Fund Comments</v>
      </c>
    </row>
    <row r="2" spans="1:24" ht="15.75" thickBot="1" x14ac:dyDescent="0.3">
      <c r="A2" s="13">
        <v>1</v>
      </c>
      <c r="B2" s="16" t="str">
        <f>EN_PF_Year3!$D$13</f>
        <v>CCM Lao PDR</v>
      </c>
      <c r="C2" s="16" t="str">
        <f>EN_PF_Year3!$D$14</f>
        <v>Yes</v>
      </c>
      <c r="D2" s="16" t="str">
        <f>EN_PF_Year3!$D$15</f>
        <v>Yes</v>
      </c>
      <c r="E2" s="16" t="str">
        <f>EN_PF_Year3!$D$17</f>
        <v>LAO-CFUND-1906</v>
      </c>
      <c r="F2" s="18">
        <f>EN_PF_Year3!$D$18</f>
        <v>43739</v>
      </c>
      <c r="G2" s="18">
        <f>EN_PF_Year3!$D$19</f>
        <v>44926</v>
      </c>
      <c r="H2" s="16" t="str">
        <f>EN_PF_Year3!$D$20</f>
        <v>Year 3</v>
      </c>
      <c r="I2" s="16">
        <f>EN_PF_Year3!$D$21</f>
        <v>0</v>
      </c>
      <c r="J2" s="16">
        <f>EN_PF_Year3!$J$13</f>
        <v>0</v>
      </c>
      <c r="K2" s="19">
        <f>EN_PF_Year3!$J$14</f>
        <v>0</v>
      </c>
      <c r="L2" s="16" t="str">
        <f>EN_PF_Year3!$B$26</f>
        <v>Oversight</v>
      </c>
      <c r="M2" s="16" t="str">
        <f>EN_PF_Year3!$C$26</f>
        <v>Effective Oversight Committee (OC) is in place with membership and plans aligned with the Global Fund (GF) grant priorities and relevant national processes (e.g. national program reviews and national planning).</v>
      </c>
      <c r="N2" s="16" t="str">
        <f>EN_PF_QualitativeBaseline!$I$16</f>
        <v>2</v>
      </c>
      <c r="O2"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2" s="16">
        <f>EN_PF_QualitativeBaseline!$J$16</f>
        <v>0</v>
      </c>
      <c r="Q2" s="16" t="str">
        <f>EN_PF_Year3!D26</f>
        <v>Does your Coordinating Mechanism have an Oversight strategy? (ER 3A)</v>
      </c>
      <c r="R2" s="19" t="str">
        <f>EN_PF_Year3!G26</f>
        <v xml:space="preserve">Yes: it is updated annually to include quarterly meetings with PRs &amp; site visits, and data collection from sources other than the CM (independent monitoring actors).  </v>
      </c>
      <c r="S2" s="16" t="str">
        <f>EN_PF_Year3!H26</f>
        <v>2</v>
      </c>
      <c r="T2" s="16" t="str">
        <f>EN_PF_Year3!I26</f>
        <v xml:space="preserve">The annual Oversight Plan is in place and is being implemented on schedules.  </v>
      </c>
      <c r="U2" s="16" t="str">
        <f>EN_PF_Year3!J26</f>
        <v>Updated Oversight Plan with relevant annexes (i.e. information exchange/collection tools)
CM/OC meeting minutes showing regular meetings and 50-85% of activities in the Oversight plan implemented</v>
      </c>
      <c r="V2" s="16" t="str">
        <f>EN_PF_Year3!K26</f>
        <v>Baseline objective = 2     Preliminary score = 2</v>
      </c>
      <c r="W2" s="16">
        <f>EN_PF_Year3!L26</f>
        <v>0</v>
      </c>
      <c r="X2" s="16">
        <f>EN_PF_Year3!M26</f>
        <v>0</v>
      </c>
    </row>
    <row r="3" spans="1:24" ht="15.75" thickBot="1" x14ac:dyDescent="0.3">
      <c r="A3" s="13">
        <v>2</v>
      </c>
      <c r="B3" s="16" t="str">
        <f>EN_PF_Year3!$D$13</f>
        <v>CCM Lao PDR</v>
      </c>
      <c r="C3" s="16" t="str">
        <f>EN_PF_Year3!$D$14</f>
        <v>Yes</v>
      </c>
      <c r="D3" s="16" t="str">
        <f>EN_PF_Year3!$D$15</f>
        <v>Yes</v>
      </c>
      <c r="E3" s="16" t="str">
        <f>EN_PF_Year3!$D$17</f>
        <v>LAO-CFUND-1906</v>
      </c>
      <c r="F3" s="18">
        <f>EN_PF_Year3!$D$18</f>
        <v>43739</v>
      </c>
      <c r="G3" s="18">
        <f>EN_PF_Year3!$D$19</f>
        <v>44926</v>
      </c>
      <c r="H3" s="16" t="str">
        <f>EN_PF_Year3!$D$20</f>
        <v>Year 3</v>
      </c>
      <c r="I3" s="16">
        <f>EN_PF_Year3!$D$21</f>
        <v>0</v>
      </c>
      <c r="J3" s="16">
        <f>EN_PF_Year3!$J$13</f>
        <v>0</v>
      </c>
      <c r="K3" s="19">
        <f>EN_PF_Year3!$J$14</f>
        <v>0</v>
      </c>
      <c r="L3" s="16" t="str">
        <f>EN_PF_Year3!$B$26</f>
        <v>Oversight</v>
      </c>
      <c r="M3" s="16" t="str">
        <f>EN_PF_Year3!$C$26</f>
        <v>Effective Oversight Committee (OC) is in place with membership and plans aligned with the Global Fund (GF) grant priorities and relevant national processes (e.g. national program reviews and national planning).</v>
      </c>
      <c r="N3" s="16" t="str">
        <f>EN_PF_QualitativeBaseline!$I$16</f>
        <v>2</v>
      </c>
      <c r="O3"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3" s="16">
        <f>EN_PF_QualitativeBaseline!$J$16</f>
        <v>0</v>
      </c>
      <c r="Q3" s="16" t="str">
        <f>EN_PF_Year3!D27</f>
        <v>Does the OC have the following skills: financial management, disease-specific expertise, procurement and supply management, program management? (ER 3B)</v>
      </c>
      <c r="R3" s="19" t="str">
        <f>EN_PF_Year3!G27</f>
        <v xml:space="preserve">OC membership has skills and experience aligned with grant and national program priorities. It includes all the following: finance management, disease-specific expertise, procurement &amp; supply management, program &amp; health systems management. </v>
      </c>
      <c r="S3" s="16" t="str">
        <f>EN_PF_Year3!H27</f>
        <v>3</v>
      </c>
      <c r="T3" s="16">
        <f>EN_PF_Year3!I27</f>
        <v>0</v>
      </c>
      <c r="U3" s="16" t="str">
        <f>EN_PF_Year3!J27</f>
        <v xml:space="preserve">OC terms of reference (TORs)
List of OC members (Partner Portal - GED updated in the last 6 months)
CVs of OC members
Minutes documenting nomination of OC members show presence of 100% of members with required skill sets and full alignment with grant and national priorities and objectives </v>
      </c>
      <c r="V3" s="16" t="str">
        <f>EN_PF_Year3!K27</f>
        <v>Baseline objective = 2     Preliminary score = 3</v>
      </c>
      <c r="W3" s="16">
        <f>EN_PF_Year3!L27</f>
        <v>0</v>
      </c>
      <c r="X3" s="16">
        <f>EN_PF_Year3!M27</f>
        <v>0</v>
      </c>
    </row>
    <row r="4" spans="1:24" ht="15.75" thickBot="1" x14ac:dyDescent="0.3">
      <c r="A4" s="13">
        <v>3</v>
      </c>
      <c r="B4" s="16" t="str">
        <f>EN_PF_Year3!$D$13</f>
        <v>CCM Lao PDR</v>
      </c>
      <c r="C4" s="16" t="str">
        <f>EN_PF_Year3!$D$14</f>
        <v>Yes</v>
      </c>
      <c r="D4" s="16" t="str">
        <f>EN_PF_Year3!$D$15</f>
        <v>Yes</v>
      </c>
      <c r="E4" s="16" t="str">
        <f>EN_PF_Year3!$D$17</f>
        <v>LAO-CFUND-1906</v>
      </c>
      <c r="F4" s="18">
        <f>EN_PF_Year3!$D$18</f>
        <v>43739</v>
      </c>
      <c r="G4" s="18">
        <f>EN_PF_Year3!$D$19</f>
        <v>44926</v>
      </c>
      <c r="H4" s="16" t="str">
        <f>EN_PF_Year3!$D$20</f>
        <v>Year 3</v>
      </c>
      <c r="I4" s="16">
        <f>EN_PF_Year3!$D$21</f>
        <v>0</v>
      </c>
      <c r="J4" s="16">
        <f>EN_PF_Year3!$J$13</f>
        <v>0</v>
      </c>
      <c r="K4" s="19">
        <f>EN_PF_Year3!$J$14</f>
        <v>0</v>
      </c>
      <c r="L4" s="16" t="str">
        <f>EN_PF_Year3!$B$26</f>
        <v>Oversight</v>
      </c>
      <c r="M4" s="16" t="str">
        <f>EN_PF_Year3!$C$26</f>
        <v>Effective Oversight Committee (OC) is in place with membership and plans aligned with the Global Fund (GF) grant priorities and relevant national processes (e.g. national program reviews and national planning).</v>
      </c>
      <c r="N4" s="16" t="str">
        <f>EN_PF_QualitativeBaseline!$I$16</f>
        <v>2</v>
      </c>
      <c r="O4"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4" s="16">
        <f>EN_PF_QualitativeBaseline!$J$16</f>
        <v>0</v>
      </c>
      <c r="Q4" s="16" t="str">
        <f>EN_PF_Year3!D28</f>
        <v>Does the OC include Key and vulnerable populations / People living with the disease(s) (KVP/PLWD) representative(s)? (ER 3B)</v>
      </c>
      <c r="R4" s="19" t="str">
        <f>EN_PF_Year3!G28</f>
        <v>OC includes KVP or PLWD representatives.</v>
      </c>
      <c r="S4" s="16" t="str">
        <f>EN_PF_Year3!H28</f>
        <v>2</v>
      </c>
      <c r="T4" s="16">
        <f>EN_PF_Year3!I28</f>
        <v>0</v>
      </c>
      <c r="U4" s="16" t="str">
        <f>EN_PF_Year3!J28</f>
        <v>CCM Bylaws / Governance Manual specifying OC committee composition or OC terms of reference (TORs)
List of OC members (Partner Portal - GED updated in the last 6 months)
CVs or short bios of OC KVP and PLWIDs members</v>
      </c>
      <c r="V4" s="16" t="str">
        <f>EN_PF_Year3!K28</f>
        <v>Baseline objective = 2     Preliminary score = 2</v>
      </c>
      <c r="W4" s="16">
        <f>EN_PF_Year3!L28</f>
        <v>0</v>
      </c>
      <c r="X4" s="16">
        <f>EN_PF_Year3!M28</f>
        <v>0</v>
      </c>
    </row>
    <row r="5" spans="1:24" ht="15.75" thickBot="1" x14ac:dyDescent="0.3">
      <c r="A5" s="13">
        <v>4</v>
      </c>
      <c r="B5" s="16" t="str">
        <f>EN_PF_Year3!$D$13</f>
        <v>CCM Lao PDR</v>
      </c>
      <c r="C5" s="16" t="str">
        <f>EN_PF_Year3!$D$14</f>
        <v>Yes</v>
      </c>
      <c r="D5" s="16" t="str">
        <f>EN_PF_Year3!$D$15</f>
        <v>Yes</v>
      </c>
      <c r="E5" s="16" t="str">
        <f>EN_PF_Year3!$D$17</f>
        <v>LAO-CFUND-1906</v>
      </c>
      <c r="F5" s="18">
        <f>EN_PF_Year3!$D$18</f>
        <v>43739</v>
      </c>
      <c r="G5" s="18">
        <f>EN_PF_Year3!$D$19</f>
        <v>44926</v>
      </c>
      <c r="H5" s="16" t="str">
        <f>EN_PF_Year3!$D$20</f>
        <v>Year 3</v>
      </c>
      <c r="I5" s="16">
        <f>EN_PF_Year3!$D$21</f>
        <v>0</v>
      </c>
      <c r="J5" s="16">
        <f>EN_PF_Year3!$J$13</f>
        <v>0</v>
      </c>
      <c r="K5" s="19">
        <f>EN_PF_Year3!$J$14</f>
        <v>0</v>
      </c>
      <c r="L5" s="16" t="str">
        <f>EN_PF_Year3!$B$26</f>
        <v>Oversight</v>
      </c>
      <c r="M5" s="16" t="str">
        <f>EN_PF_Year3!$C$29</f>
        <v>The Oversight Committee (OC) uses strategic information and analysis effectively, supporting evidenced-based decision-making throughout the GF grant-life cycle.</v>
      </c>
      <c r="N5" s="16" t="str">
        <f>EN_PF_QualitativeBaseline!$I$17</f>
        <v>2</v>
      </c>
      <c r="O5"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5" s="16">
        <f>EN_PF_QualitativeBaseline!$J$17</f>
        <v>0</v>
      </c>
      <c r="Q5" s="16" t="str">
        <f>EN_PF_Year3!D29</f>
        <v>Does the OC regularly collect strategic information, including from non-implementers of GF grants through consultations and/or site visits, for data-driven decision-making? These may include community-lead monitoring (CLM) observatories, human rights complaints mechanisms, ...  (ER3C)</v>
      </c>
      <c r="R5" s="19" t="str">
        <f>EN_PF_Year3!G29</f>
        <v xml:space="preserve">Yes: OC meets at least annually with CLM platforms and reviews their reports on program implementation, using dashboards or other digital tools (where available, such as health software / other national data). It consults regularly with implementers in the field, health workers and patients. </v>
      </c>
      <c r="S5" s="16" t="str">
        <f>EN_PF_Year3!H29</f>
        <v>2</v>
      </c>
      <c r="T5" s="16">
        <f>EN_PF_Year3!I29</f>
        <v>0</v>
      </c>
      <c r="U5" s="16" t="str">
        <f>EN_PF_Year3!J29</f>
        <v>Site visit reports
Consultation minutes
Data collection tools
OC meeting minutes</v>
      </c>
      <c r="V5" s="16" t="str">
        <f>EN_PF_Year3!K29</f>
        <v>Baseline objective = 2     Preliminary score = 2</v>
      </c>
      <c r="W5" s="16">
        <f>EN_PF_Year3!L29</f>
        <v>0</v>
      </c>
      <c r="X5" s="16">
        <f>EN_PF_Year3!M29</f>
        <v>0</v>
      </c>
    </row>
    <row r="6" spans="1:24" ht="15.75" thickBot="1" x14ac:dyDescent="0.3">
      <c r="A6" s="13">
        <v>5</v>
      </c>
      <c r="B6" s="16" t="str">
        <f>EN_PF_Year3!$D$13</f>
        <v>CCM Lao PDR</v>
      </c>
      <c r="C6" s="16" t="str">
        <f>EN_PF_Year3!$D$14</f>
        <v>Yes</v>
      </c>
      <c r="D6" s="16" t="str">
        <f>EN_PF_Year3!$D$15</f>
        <v>Yes</v>
      </c>
      <c r="E6" s="16" t="str">
        <f>EN_PF_Year3!$D$17</f>
        <v>LAO-CFUND-1906</v>
      </c>
      <c r="F6" s="18">
        <f>EN_PF_Year3!$D$18</f>
        <v>43739</v>
      </c>
      <c r="G6" s="18">
        <f>EN_PF_Year3!$D$19</f>
        <v>44926</v>
      </c>
      <c r="H6" s="16" t="str">
        <f>EN_PF_Year3!$D$20</f>
        <v>Year 3</v>
      </c>
      <c r="I6" s="16">
        <f>EN_PF_Year3!$D$21</f>
        <v>0</v>
      </c>
      <c r="J6" s="16">
        <f>EN_PF_Year3!$J$13</f>
        <v>0</v>
      </c>
      <c r="K6" s="19">
        <f>EN_PF_Year3!$J$14</f>
        <v>0</v>
      </c>
      <c r="L6" s="16" t="str">
        <f>EN_PF_Year3!$B$26</f>
        <v>Oversight</v>
      </c>
      <c r="M6" s="16" t="str">
        <f>EN_PF_Year3!$C$30</f>
        <v>The Coordinating Mechanism works effectively with PRs to identify and mitigate risks, bottlenecks and challenges to grant delivery (adopts risk management approach).</v>
      </c>
      <c r="N6" s="16" t="str">
        <f>EN_PF_QualitativeBaseline!$I$18</f>
        <v>0</v>
      </c>
      <c r="O6"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6" s="16">
        <f>EN_PF_QualitativeBaseline!$J$18</f>
        <v>0</v>
      </c>
      <c r="Q6" s="16" t="str">
        <f>EN_PF_Year3!D30</f>
        <v>Does the OC meet regularly with Principal Recipients (PRs) to collect strategic information and discuss implementation progress, challenges, risks, or the need for program revisions?
(ER 3D)</v>
      </c>
      <c r="R6" s="19" t="str">
        <f>EN_PF_Year3!G30</f>
        <v>OC adopts a risk management approach based on PR-provided evidence: it reviews bottlenecks identified by the PRs (at least twice per year), documenting decisions, following up on corrective actions and reviewing budget reprogramming as a result.</v>
      </c>
      <c r="S6" s="16" t="str">
        <f>EN_PF_Year3!H30</f>
        <v>2</v>
      </c>
      <c r="T6" s="16">
        <f>EN_PF_Year3!I30</f>
        <v>0</v>
      </c>
      <c r="U6" s="16" t="str">
        <f>EN_PF_Year3!J30</f>
        <v>OC meeting minutes showing at least two meetings per year held with each PR, the topics discussed, and recommendations made.
Available oversight tools.
Available risk management information (e.g. risk matrix in HI and Core countries)</v>
      </c>
      <c r="V6" s="16" t="str">
        <f>EN_PF_Year3!K30</f>
        <v>Baseline objective = 0     Preliminary score = 2</v>
      </c>
      <c r="W6" s="16">
        <f>EN_PF_Year3!L30</f>
        <v>0</v>
      </c>
      <c r="X6" s="16">
        <f>EN_PF_Year3!M30</f>
        <v>0</v>
      </c>
    </row>
    <row r="7" spans="1:24" ht="15.75" thickBot="1" x14ac:dyDescent="0.3">
      <c r="A7" s="13">
        <v>6</v>
      </c>
      <c r="B7" s="16" t="str">
        <f>EN_PF_Year3!$D$13</f>
        <v>CCM Lao PDR</v>
      </c>
      <c r="C7" s="16" t="str">
        <f>EN_PF_Year3!$D$14</f>
        <v>Yes</v>
      </c>
      <c r="D7" s="16" t="str">
        <f>EN_PF_Year3!$D$15</f>
        <v>Yes</v>
      </c>
      <c r="E7" s="16" t="str">
        <f>EN_PF_Year3!$D$17</f>
        <v>LAO-CFUND-1906</v>
      </c>
      <c r="F7" s="18">
        <f>EN_PF_Year3!$D$18</f>
        <v>43739</v>
      </c>
      <c r="G7" s="18">
        <f>EN_PF_Year3!$D$19</f>
        <v>44926</v>
      </c>
      <c r="H7" s="16" t="str">
        <f>EN_PF_Year3!$D$20</f>
        <v>Year 3</v>
      </c>
      <c r="I7" s="16">
        <f>EN_PF_Year3!$D$21</f>
        <v>0</v>
      </c>
      <c r="J7" s="16">
        <f>EN_PF_Year3!$J$13</f>
        <v>0</v>
      </c>
      <c r="K7" s="19">
        <f>EN_PF_Year3!$J$14</f>
        <v>0</v>
      </c>
      <c r="L7" s="16" t="str">
        <f>EN_PF_Year3!$B$26</f>
        <v>Oversight</v>
      </c>
      <c r="M7" s="16" t="str">
        <f>EN_PF_Year3!$C$30</f>
        <v>The Coordinating Mechanism works effectively with PRs to identify and mitigate risks, bottlenecks and challenges to grant delivery (adopts risk management approach).</v>
      </c>
      <c r="N7" s="16" t="str">
        <f>EN_PF_QualitativeBaseline!$I$18</f>
        <v>0</v>
      </c>
      <c r="O7"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7" s="16">
        <f>EN_PF_QualitativeBaseline!$J$18</f>
        <v>0</v>
      </c>
      <c r="Q7" s="16" t="str">
        <f>EN_PF_Year3!D31</f>
        <v>Does the Coordinating Mechanism (General Assembly - GA) make decisions when problems and challenges are identified? (ER 3E)</v>
      </c>
      <c r="R7" s="19" t="str">
        <f>EN_PF_Year3!G31</f>
        <v xml:space="preserve">GAs discuss OC recommendations, make decisions, agree on an action plan, and follow up on its implementation. </v>
      </c>
      <c r="S7" s="16" t="str">
        <f>EN_PF_Year3!H31</f>
        <v>3</v>
      </c>
      <c r="T7" s="16">
        <f>EN_PF_Year3!I31</f>
        <v>0</v>
      </c>
      <c r="U7" s="16" t="str">
        <f>EN_PF_Year3!J31</f>
        <v>Assembly minutes: meetings held during the last 12 months show discussions on OC recommendations, corresponding decisions, an agreed action plan and evidence of constant follow-up on corrective activities</v>
      </c>
      <c r="V7" s="16" t="str">
        <f>EN_PF_Year3!K31</f>
        <v>Baseline objective = 0     Preliminary score = 3</v>
      </c>
      <c r="W7" s="16">
        <f>EN_PF_Year3!L31</f>
        <v>0</v>
      </c>
      <c r="X7" s="16">
        <f>EN_PF_Year3!M31</f>
        <v>0</v>
      </c>
    </row>
    <row r="8" spans="1:24" ht="15.75" thickBot="1" x14ac:dyDescent="0.3">
      <c r="A8" s="13">
        <v>7</v>
      </c>
      <c r="B8" s="16" t="str">
        <f>EN_PF_Year3!$D$13</f>
        <v>CCM Lao PDR</v>
      </c>
      <c r="C8" s="16" t="str">
        <f>EN_PF_Year3!$D$14</f>
        <v>Yes</v>
      </c>
      <c r="D8" s="16" t="str">
        <f>EN_PF_Year3!$D$15</f>
        <v>Yes</v>
      </c>
      <c r="E8" s="16" t="str">
        <f>EN_PF_Year3!$D$17</f>
        <v>LAO-CFUND-1906</v>
      </c>
      <c r="F8" s="18">
        <f>EN_PF_Year3!$D$18</f>
        <v>43739</v>
      </c>
      <c r="G8" s="18">
        <f>EN_PF_Year3!$D$19</f>
        <v>44926</v>
      </c>
      <c r="H8" s="16" t="str">
        <f>EN_PF_Year3!$D$20</f>
        <v>Year 3</v>
      </c>
      <c r="I8" s="16">
        <f>EN_PF_Year3!$D$21</f>
        <v>0</v>
      </c>
      <c r="J8" s="16">
        <f>EN_PF_Year3!$J$13</f>
        <v>0</v>
      </c>
      <c r="K8" s="19">
        <f>EN_PF_Year3!$J$14</f>
        <v>0</v>
      </c>
      <c r="L8" s="16" t="str">
        <f>EN_PF_Year3!$B$26</f>
        <v>Oversight</v>
      </c>
      <c r="M8" s="16" t="str">
        <f>EN_PF_Year3!$C$30</f>
        <v>The Coordinating Mechanism works effectively with PRs to identify and mitigate risks, bottlenecks and challenges to grant delivery (adopts risk management approach).</v>
      </c>
      <c r="N8" s="16" t="str">
        <f>EN_PF_QualitativeBaseline!$I$18</f>
        <v>0</v>
      </c>
      <c r="O8"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8" s="16">
        <f>EN_PF_QualitativeBaseline!$J$18</f>
        <v>0</v>
      </c>
      <c r="Q8" s="16" t="str">
        <f>EN_PF_Year3!D32</f>
        <v>Does the Coordinating Mechanism regularly share and follow up on oversight results with the Global Fund and in-country stakeholders? (ER 3F)</v>
      </c>
      <c r="R8" s="19" t="str">
        <f>EN_PF_Year3!G32</f>
        <v xml:space="preserve">CM Secretariat regularly shares information on oversight activities with the GF, communities and other in-country partners and national programs. Communities have access to oversight data through a regularly updated website, connectivity mapping, data bundles, or other online applications. </v>
      </c>
      <c r="S8" s="16" t="str">
        <f>EN_PF_Year3!H32</f>
        <v>2</v>
      </c>
      <c r="T8" s="16">
        <f>EN_PF_Year3!I32</f>
        <v>0</v>
      </c>
      <c r="U8" s="16" t="str">
        <f>EN_PF_Year3!J32</f>
        <v>Communication plan
Letters or emails sent by the Coordinating Mechanism
Minutes of annual workshop with in-country stakeholders on lessons learnt
CM website publications/oversight bulletins</v>
      </c>
      <c r="V8" s="16" t="str">
        <f>EN_PF_Year3!K32</f>
        <v>Baseline objective = 0     Preliminary score = 2</v>
      </c>
      <c r="W8" s="16">
        <f>EN_PF_Year3!L32</f>
        <v>0</v>
      </c>
      <c r="X8" s="16">
        <f>EN_PF_Year3!M32</f>
        <v>0</v>
      </c>
    </row>
    <row r="9" spans="1:24" ht="15.75" thickBot="1" x14ac:dyDescent="0.3">
      <c r="A9" s="13">
        <v>8</v>
      </c>
      <c r="B9" s="16" t="str">
        <f>EN_PF_Year3!$D$13</f>
        <v>CCM Lao PDR</v>
      </c>
      <c r="C9" s="16" t="str">
        <f>EN_PF_Year3!$D$14</f>
        <v>Yes</v>
      </c>
      <c r="D9" s="16" t="str">
        <f>EN_PF_Year3!$D$15</f>
        <v>Yes</v>
      </c>
      <c r="E9" s="16" t="str">
        <f>EN_PF_Year3!$D$17</f>
        <v>LAO-CFUND-1906</v>
      </c>
      <c r="F9" s="18">
        <f>EN_PF_Year3!$D$18</f>
        <v>43739</v>
      </c>
      <c r="G9" s="18">
        <f>EN_PF_Year3!$D$19</f>
        <v>44926</v>
      </c>
      <c r="H9" s="16" t="str">
        <f>EN_PF_Year3!$D$20</f>
        <v>Year 3</v>
      </c>
      <c r="I9" s="16">
        <f>EN_PF_Year3!$D$21</f>
        <v>0</v>
      </c>
      <c r="J9" s="16">
        <f>EN_PF_Year3!$J$13</f>
        <v>0</v>
      </c>
      <c r="K9" s="19">
        <f>EN_PF_Year3!$J$14</f>
        <v>0</v>
      </c>
      <c r="L9" s="16" t="str">
        <f>EN_PF_Year3!$B$26</f>
        <v>Oversight</v>
      </c>
      <c r="M9" s="16" t="str">
        <f>EN_PF_Year3!$C$33</f>
        <v>The Coordinating Mechanism supports the realization of co-financing commitments.</v>
      </c>
      <c r="N9" s="16" t="str">
        <f>EN_PF_QualitativeBaseline!$I$19</f>
        <v>2</v>
      </c>
      <c r="O9"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9" s="16">
        <f>EN_PF_QualitativeBaseline!$J$19</f>
        <v>0</v>
      </c>
      <c r="Q9" s="16" t="str">
        <f>EN_PF_Year3!D33</f>
        <v>Does the Coordinating Mechanism discuss co-financing on its meetings and with key stakeholders?</v>
      </c>
      <c r="R9" s="19" t="str">
        <f>EN_PF_Year3!G33</f>
        <v xml:space="preserve">CM leadership holds annual meetings with relevant ministries/government counterparts to agree / re-enforce co-financing schedules and informs the General Assembly. </v>
      </c>
      <c r="S9" s="16" t="str">
        <f>EN_PF_Year3!H33</f>
        <v>2</v>
      </c>
      <c r="T9" s="16" t="str">
        <f>EN_PF_Year3!I33</f>
        <v>Co-financing has been updated regularly in the OC and CCM plenary meetings which attended by MOF/relevant ministries representatives.</v>
      </c>
      <c r="U9" s="16" t="str">
        <f>EN_PF_Year3!J33</f>
        <v>Assembly minutes showing at least one status update per year from MoF and other relevant ministries. 
Meeting minutes with MoF/relevant ministries representatives
Co-financing commitment tracking tool/template</v>
      </c>
      <c r="V9" s="16" t="str">
        <f>EN_PF_Year3!K33</f>
        <v>Baseline objective = 2     Preliminary score = 2</v>
      </c>
      <c r="W9" s="16">
        <f>EN_PF_Year3!L33</f>
        <v>0</v>
      </c>
      <c r="X9" s="16">
        <f>EN_PF_Year3!M33</f>
        <v>0</v>
      </c>
    </row>
    <row r="10" spans="1:24" ht="15.75" thickBot="1" x14ac:dyDescent="0.3">
      <c r="A10" s="13">
        <v>9</v>
      </c>
      <c r="B10" s="16" t="str">
        <f>EN_PF_Year3!$D$13</f>
        <v>CCM Lao PDR</v>
      </c>
      <c r="C10" s="16" t="str">
        <f>EN_PF_Year3!$D$14</f>
        <v>Yes</v>
      </c>
      <c r="D10" s="16" t="str">
        <f>EN_PF_Year3!$D$15</f>
        <v>Yes</v>
      </c>
      <c r="E10" s="16" t="str">
        <f>EN_PF_Year3!$D$17</f>
        <v>LAO-CFUND-1906</v>
      </c>
      <c r="F10" s="18">
        <f>EN_PF_Year3!$D$18</f>
        <v>43739</v>
      </c>
      <c r="G10" s="18">
        <f>EN_PF_Year3!$D$19</f>
        <v>44926</v>
      </c>
      <c r="H10" s="16" t="str">
        <f>EN_PF_Year3!$D$20</f>
        <v>Year 3</v>
      </c>
      <c r="I10" s="16">
        <f>EN_PF_Year3!$D$21</f>
        <v>0</v>
      </c>
      <c r="J10" s="16">
        <f>EN_PF_Year3!$J$13</f>
        <v>0</v>
      </c>
      <c r="K10" s="19">
        <f>EN_PF_Year3!$J$14</f>
        <v>0</v>
      </c>
      <c r="L10" s="16" t="str">
        <f>EN_PF_Year3!$B$34</f>
        <v>Engagement</v>
      </c>
      <c r="M10" s="16" t="str">
        <f>EN_PF_Year3!$C$34</f>
        <v xml:space="preserve">Coordinating Mechanism constituencies selection/election processes abide by principles of good governance (are transparent, ethical and well-documented) and ensure quality engagement. </v>
      </c>
      <c r="N10" s="16" t="str">
        <f>EN_PF_QualitativeBaseline!$I$20</f>
        <v>2</v>
      </c>
      <c r="O10"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0" s="16">
        <f>EN_PF_QualitativeBaseline!$J$20</f>
        <v>0</v>
      </c>
      <c r="Q10" s="16" t="str">
        <f>EN_PF_Year3!D34</f>
        <v>Are key affected and most at risk groups represented in the Coordinating Mechanism? (ER 4G) (ER 4H)</v>
      </c>
      <c r="R10" s="19" t="str">
        <f>EN_PF_Year3!G34</f>
        <v xml:space="preserve">Yes: direct representation of all affected groups (community representatives / leaders) is guaranteed. There are mechanisms in place to adapt CM representation at the beginning of each funding cycle. 
This includes ad hoc participation (e.g. as observers) of:
- Cross-cutting groups to be consulted on pandemic preparedness;
- Refugees or displaced persons, in challenging operating environments. </v>
      </c>
      <c r="S10" s="16" t="str">
        <f>EN_PF_Year3!H34</f>
        <v>3</v>
      </c>
      <c r="T10" s="16">
        <f>EN_PF_Year3!I34</f>
        <v>0</v>
      </c>
      <c r="U10" s="16" t="str">
        <f>EN_PF_Year3!J34</f>
        <v>Membership list (Partner Portal - GED updated in the last 6 months)
Epidemiological Reports
List of NGOs representing key affected groups
Civil Society elections meeting minutes
Constituency engagement meeting minutes</v>
      </c>
      <c r="V10" s="16" t="str">
        <f>EN_PF_Year3!K34</f>
        <v>Baseline objective = 2     Preliminary score = 3</v>
      </c>
      <c r="W10" s="16">
        <f>EN_PF_Year3!L34</f>
        <v>0</v>
      </c>
      <c r="X10" s="16">
        <f>EN_PF_Year3!M34</f>
        <v>0</v>
      </c>
    </row>
    <row r="11" spans="1:24" ht="15.75" thickBot="1" x14ac:dyDescent="0.3">
      <c r="A11" s="13">
        <v>10</v>
      </c>
      <c r="B11" s="16" t="str">
        <f>EN_PF_Year3!$D$13</f>
        <v>CCM Lao PDR</v>
      </c>
      <c r="C11" s="16" t="str">
        <f>EN_PF_Year3!$D$14</f>
        <v>Yes</v>
      </c>
      <c r="D11" s="16" t="str">
        <f>EN_PF_Year3!$D$15</f>
        <v>Yes</v>
      </c>
      <c r="E11" s="16" t="str">
        <f>EN_PF_Year3!$D$17</f>
        <v>LAO-CFUND-1906</v>
      </c>
      <c r="F11" s="18">
        <f>EN_PF_Year3!$D$18</f>
        <v>43739</v>
      </c>
      <c r="G11" s="18">
        <f>EN_PF_Year3!$D$19</f>
        <v>44926</v>
      </c>
      <c r="H11" s="16" t="str">
        <f>EN_PF_Year3!$D$20</f>
        <v>Year 3</v>
      </c>
      <c r="I11" s="16">
        <f>EN_PF_Year3!$D$21</f>
        <v>0</v>
      </c>
      <c r="J11" s="16">
        <f>EN_PF_Year3!$J$13</f>
        <v>0</v>
      </c>
      <c r="K11" s="19">
        <f>EN_PF_Year3!$J$14</f>
        <v>0</v>
      </c>
      <c r="L11" s="16" t="str">
        <f>EN_PF_Year3!$B$34</f>
        <v>Engagement</v>
      </c>
      <c r="M11" s="16" t="str">
        <f>EN_PF_Year3!$C$34</f>
        <v xml:space="preserve">Coordinating Mechanism constituencies selection/election processes abide by principles of good governance (are transparent, ethical and well-documented) and ensure quality engagement. </v>
      </c>
      <c r="N11" s="16" t="str">
        <f>EN_PF_QualitativeBaseline!$I$20</f>
        <v>2</v>
      </c>
      <c r="O11"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1" s="16">
        <f>EN_PF_QualitativeBaseline!$J$20</f>
        <v>0</v>
      </c>
      <c r="Q11" s="16" t="str">
        <f>EN_PF_Year3!D35</f>
        <v>Are the relevant ministries in the fight against the diseases represented in the Coordinating Mechanism, in line with the epidemiological context of the country?</v>
      </c>
      <c r="R11" s="19" t="str">
        <f>EN_PF_Year3!G35</f>
        <v>Ministries of Health, Finance, other relevant ministries for social protection (Welfare, Women, Development, Interior, Education etc.) or parliamentarians are represented. At least one of them in a leadership role in the CM (Chair / Vice Chair) or in its technical committees.</v>
      </c>
      <c r="S11" s="16" t="str">
        <f>EN_PF_Year3!H35</f>
        <v>3</v>
      </c>
      <c r="T11" s="16">
        <f>EN_PF_Year3!I35</f>
        <v>0</v>
      </c>
      <c r="U11" s="16" t="str">
        <f>EN_PF_Year3!J35</f>
        <v>Membership list (Partner Portal - GED updated in the last 6 months)
Epidemiological Reports
Government appointment letters
General Assembly meeting minutes</v>
      </c>
      <c r="V11" s="16" t="str">
        <f>EN_PF_Year3!K35</f>
        <v>Baseline objective = 2     Preliminary score = 3</v>
      </c>
      <c r="W11" s="16">
        <f>EN_PF_Year3!L35</f>
        <v>0</v>
      </c>
      <c r="X11" s="16">
        <f>EN_PF_Year3!M35</f>
        <v>0</v>
      </c>
    </row>
    <row r="12" spans="1:24" ht="15.75" thickBot="1" x14ac:dyDescent="0.3">
      <c r="A12" s="13">
        <v>11</v>
      </c>
      <c r="B12" s="16" t="str">
        <f>EN_PF_Year3!$D$13</f>
        <v>CCM Lao PDR</v>
      </c>
      <c r="C12" s="16" t="str">
        <f>EN_PF_Year3!$D$14</f>
        <v>Yes</v>
      </c>
      <c r="D12" s="16" t="str">
        <f>EN_PF_Year3!$D$15</f>
        <v>Yes</v>
      </c>
      <c r="E12" s="16" t="str">
        <f>EN_PF_Year3!$D$17</f>
        <v>LAO-CFUND-1906</v>
      </c>
      <c r="F12" s="18">
        <f>EN_PF_Year3!$D$18</f>
        <v>43739</v>
      </c>
      <c r="G12" s="18">
        <f>EN_PF_Year3!$D$19</f>
        <v>44926</v>
      </c>
      <c r="H12" s="16" t="str">
        <f>EN_PF_Year3!$D$20</f>
        <v>Year 3</v>
      </c>
      <c r="I12" s="16">
        <f>EN_PF_Year3!$D$21</f>
        <v>0</v>
      </c>
      <c r="J12" s="16">
        <f>EN_PF_Year3!$J$13</f>
        <v>0</v>
      </c>
      <c r="K12" s="19">
        <f>EN_PF_Year3!$J$14</f>
        <v>0</v>
      </c>
      <c r="L12" s="16" t="str">
        <f>EN_PF_Year3!$B$34</f>
        <v>Engagement</v>
      </c>
      <c r="M12" s="16" t="str">
        <f>EN_PF_Year3!$C$34</f>
        <v xml:space="preserve">Coordinating Mechanism constituencies selection/election processes abide by principles of good governance (are transparent, ethical and well-documented) and ensure quality engagement. </v>
      </c>
      <c r="N12" s="16" t="str">
        <f>EN_PF_QualitativeBaseline!$I$20</f>
        <v>2</v>
      </c>
      <c r="O12"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2" s="16">
        <f>EN_PF_QualitativeBaseline!$J$20</f>
        <v>0</v>
      </c>
      <c r="Q12" s="16" t="str">
        <f>EN_PF_Year3!D36</f>
        <v>Does the Coordinating Mechanism have balanced gender representation? (ER 4I)</v>
      </c>
      <c r="R12" s="19" t="str">
        <f>EN_PF_Year3!G36</f>
        <v>Non-male representation is at least 40% and there is a non-male leader in the CM (Chair / Vice Chair) or in at least one committee.</v>
      </c>
      <c r="S12" s="16" t="str">
        <f>EN_PF_Year3!H36</f>
        <v>2</v>
      </c>
      <c r="T12" s="16">
        <f>EN_PF_Year3!I36</f>
        <v>0</v>
      </c>
      <c r="U12" s="16" t="str">
        <f>EN_PF_Year3!J36</f>
        <v>Membership list (Partner Portal - GED updated in the last 6 months)
Election meeting minutes
Technical Committee Membership list (Partner Portal - GED updated in the last 6 months)</v>
      </c>
      <c r="V12" s="16" t="str">
        <f>EN_PF_Year3!K36</f>
        <v>Baseline objective = 2     Preliminary score = 2</v>
      </c>
      <c r="W12" s="16">
        <f>EN_PF_Year3!L36</f>
        <v>0</v>
      </c>
      <c r="X12" s="16">
        <f>EN_PF_Year3!M36</f>
        <v>0</v>
      </c>
    </row>
    <row r="13" spans="1:24" ht="15.75" thickBot="1" x14ac:dyDescent="0.3">
      <c r="A13" s="13">
        <v>12</v>
      </c>
      <c r="B13" s="16" t="str">
        <f>EN_PF_Year3!$D$13</f>
        <v>CCM Lao PDR</v>
      </c>
      <c r="C13" s="16" t="str">
        <f>EN_PF_Year3!$D$14</f>
        <v>Yes</v>
      </c>
      <c r="D13" s="16" t="str">
        <f>EN_PF_Year3!$D$15</f>
        <v>Yes</v>
      </c>
      <c r="E13" s="16" t="str">
        <f>EN_PF_Year3!$D$17</f>
        <v>LAO-CFUND-1906</v>
      </c>
      <c r="F13" s="18">
        <f>EN_PF_Year3!$D$18</f>
        <v>43739</v>
      </c>
      <c r="G13" s="18">
        <f>EN_PF_Year3!$D$19</f>
        <v>44926</v>
      </c>
      <c r="H13" s="16" t="str">
        <f>EN_PF_Year3!$D$20</f>
        <v>Year 3</v>
      </c>
      <c r="I13" s="16">
        <f>EN_PF_Year3!$D$21</f>
        <v>0</v>
      </c>
      <c r="J13" s="16">
        <f>EN_PF_Year3!$J$13</f>
        <v>0</v>
      </c>
      <c r="K13" s="19">
        <f>EN_PF_Year3!$J$14</f>
        <v>0</v>
      </c>
      <c r="L13" s="16" t="str">
        <f>EN_PF_Year3!$B$34</f>
        <v>Engagement</v>
      </c>
      <c r="M13" s="16" t="str">
        <f>EN_PF_Year3!$C$34</f>
        <v xml:space="preserve">Coordinating Mechanism constituencies selection/election processes abide by principles of good governance (are transparent, ethical and well-documented) and ensure quality engagement. </v>
      </c>
      <c r="N13" s="16" t="str">
        <f>EN_PF_QualitativeBaseline!$I$20</f>
        <v>2</v>
      </c>
      <c r="O13"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3" s="16">
        <f>EN_PF_QualitativeBaseline!$J$20</f>
        <v>0</v>
      </c>
      <c r="Q13" s="16" t="str">
        <f>EN_PF_Year3!D37</f>
        <v>Are the elections of Coordinating Mechanism members representing civil society constituencies well-documented? (ER 5J)</v>
      </c>
      <c r="R13" s="19" t="str">
        <f>EN_PF_Year3!G37</f>
        <v>Yes: documented, open and transparent processes. Not always combined with widely published consultations with all the civil society constituencies, even if in line with governance documents of the CM.</v>
      </c>
      <c r="S13" s="16" t="str">
        <f>EN_PF_Year3!H37</f>
        <v>2</v>
      </c>
      <c r="T13" s="16">
        <f>EN_PF_Year3!I37</f>
        <v>0</v>
      </c>
      <c r="U13" s="16" t="str">
        <f>EN_PF_Year3!J37</f>
        <v>Election meeting minutes
Candidates' terms of reference
Evaluation Committee terms of reference
Proof of publication of election calls</v>
      </c>
      <c r="V13" s="16" t="str">
        <f>EN_PF_Year3!K37</f>
        <v>Baseline objective = 2     Preliminary score = 2</v>
      </c>
      <c r="W13" s="16">
        <f>EN_PF_Year3!L37</f>
        <v>0</v>
      </c>
      <c r="X13" s="16">
        <f>EN_PF_Year3!M37</f>
        <v>0</v>
      </c>
    </row>
    <row r="14" spans="1:24" ht="15.75" thickBot="1" x14ac:dyDescent="0.3">
      <c r="A14" s="13">
        <v>13</v>
      </c>
      <c r="B14" s="16" t="str">
        <f>EN_PF_Year3!$D$13</f>
        <v>CCM Lao PDR</v>
      </c>
      <c r="C14" s="16" t="str">
        <f>EN_PF_Year3!$D$14</f>
        <v>Yes</v>
      </c>
      <c r="D14" s="16" t="str">
        <f>EN_PF_Year3!$D$15</f>
        <v>Yes</v>
      </c>
      <c r="E14" s="16" t="str">
        <f>EN_PF_Year3!$D$17</f>
        <v>LAO-CFUND-1906</v>
      </c>
      <c r="F14" s="18">
        <f>EN_PF_Year3!$D$18</f>
        <v>43739</v>
      </c>
      <c r="G14" s="18">
        <f>EN_PF_Year3!$D$19</f>
        <v>44926</v>
      </c>
      <c r="H14" s="16" t="str">
        <f>EN_PF_Year3!$D$20</f>
        <v>Year 3</v>
      </c>
      <c r="I14" s="16">
        <f>EN_PF_Year3!$D$21</f>
        <v>0</v>
      </c>
      <c r="J14" s="16">
        <f>EN_PF_Year3!$J$13</f>
        <v>0</v>
      </c>
      <c r="K14" s="19">
        <f>EN_PF_Year3!$J$14</f>
        <v>0</v>
      </c>
      <c r="L14" s="16" t="str">
        <f>EN_PF_Year3!$B$34</f>
        <v>Engagement</v>
      </c>
      <c r="M14" s="16" t="str">
        <f>EN_PF_Year3!$C$34</f>
        <v xml:space="preserve">Coordinating Mechanism constituencies selection/election processes abide by principles of good governance (are transparent, ethical and well-documented) and ensure quality engagement. </v>
      </c>
      <c r="N14" s="16" t="str">
        <f>EN_PF_QualitativeBaseline!$I$20</f>
        <v>2</v>
      </c>
      <c r="O14"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4" s="16">
        <f>EN_PF_QualitativeBaseline!$J$20</f>
        <v>0</v>
      </c>
      <c r="Q14" s="16" t="str">
        <f>EN_PF_Year3!D38</f>
        <v>Does the Coordinating Mechanism elect Chair and Vice Chair(s) from different sectors and also follow good governance principles of periodic change and rotation of leadership? (ER 5M)</v>
      </c>
      <c r="R14" s="19" t="str">
        <f>EN_PF_Year3!G38</f>
        <v xml:space="preserve">Chair and Vice-Chair(s) are from different sectors and procedures for periodic change of leadership are adhered to. If chair-ship is always assigned to gov sector, rotation between institutions is ensured.
If the chair-ship is pre-assigned to a certain institution as a result of CM (re)positioning, and the CM (or its functions) is within a wider health governance body, only a regular rotation of the individuals assigned to this role is expected. If this is your case, please select Level 3. </v>
      </c>
      <c r="S14" s="16" t="str">
        <f>EN_PF_Year3!H38</f>
        <v>2</v>
      </c>
      <c r="T14" s="16">
        <f>EN_PF_Year3!I38</f>
        <v>0</v>
      </c>
      <c r="U14" s="16" t="str">
        <f>EN_PF_Year3!J38</f>
        <v>Governance manuals
Election meeting minutes</v>
      </c>
      <c r="V14" s="16" t="str">
        <f>EN_PF_Year3!K38</f>
        <v>Baseline objective = 2     Preliminary score = 2</v>
      </c>
      <c r="W14" s="16">
        <f>EN_PF_Year3!L38</f>
        <v>0</v>
      </c>
      <c r="X14" s="16">
        <f>EN_PF_Year3!M38</f>
        <v>0</v>
      </c>
    </row>
    <row r="15" spans="1:24" ht="15.75" thickBot="1" x14ac:dyDescent="0.3">
      <c r="A15" s="13">
        <v>14</v>
      </c>
      <c r="B15" s="16" t="str">
        <f>EN_PF_Year3!$D$13</f>
        <v>CCM Lao PDR</v>
      </c>
      <c r="C15" s="16" t="str">
        <f>EN_PF_Year3!$D$14</f>
        <v>Yes</v>
      </c>
      <c r="D15" s="16" t="str">
        <f>EN_PF_Year3!$D$15</f>
        <v>Yes</v>
      </c>
      <c r="E15" s="16" t="str">
        <f>EN_PF_Year3!$D$17</f>
        <v>LAO-CFUND-1906</v>
      </c>
      <c r="F15" s="18">
        <f>EN_PF_Year3!$D$18</f>
        <v>43739</v>
      </c>
      <c r="G15" s="18">
        <f>EN_PF_Year3!$D$19</f>
        <v>44926</v>
      </c>
      <c r="H15" s="16" t="str">
        <f>EN_PF_Year3!$D$20</f>
        <v>Year 3</v>
      </c>
      <c r="I15" s="16">
        <f>EN_PF_Year3!$D$21</f>
        <v>0</v>
      </c>
      <c r="J15" s="16">
        <f>EN_PF_Year3!$J$13</f>
        <v>0</v>
      </c>
      <c r="K15" s="19">
        <f>EN_PF_Year3!$J$14</f>
        <v>0</v>
      </c>
      <c r="L15" s="16" t="str">
        <f>EN_PF_Year3!$B$34</f>
        <v>Engagement</v>
      </c>
      <c r="M15" s="16" t="str">
        <f>EN_PF_Year3!$C$39</f>
        <v>Coordinating Mechanism constituencies actively engage and input into GF processes.</v>
      </c>
      <c r="N15" s="16" t="str">
        <f>EN_PF_QualitativeBaseline!$I$21</f>
        <v>2</v>
      </c>
      <c r="O15"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5" s="16">
        <f>EN_PF_QualitativeBaseline!$J$21</f>
        <v>0</v>
      </c>
      <c r="Q15" s="16" t="str">
        <f>EN_PF_Year3!D39</f>
        <v>Does the non-state sector (Private Sector / Civil Society / Academia) account for at least 40% of the Coordinating Mechanism seats? (ER 5K)</v>
      </c>
      <c r="R15" s="19" t="str">
        <f>EN_PF_Year3!G39</f>
        <v>Yes: and is not over-represented (not above 51%) and it has direct representation of Key Affected Groups.</v>
      </c>
      <c r="S15" s="16" t="str">
        <f>EN_PF_Year3!H39</f>
        <v>3</v>
      </c>
      <c r="T15" s="16">
        <f>EN_PF_Year3!I39</f>
        <v>0</v>
      </c>
      <c r="U15" s="16" t="str">
        <f>EN_PF_Year3!J39</f>
        <v>Governance manuals
Membership list (Partner Portal - GED updated in the last 6 months)
Epidemiological Report
Election meeting minutes
Constituency consultations meeting minutes</v>
      </c>
      <c r="V15" s="16" t="str">
        <f>EN_PF_Year3!K39</f>
        <v>Baseline objective = 2     Preliminary score = 3</v>
      </c>
      <c r="W15" s="16">
        <f>EN_PF_Year3!L39</f>
        <v>0</v>
      </c>
      <c r="X15" s="16">
        <f>EN_PF_Year3!M39</f>
        <v>0</v>
      </c>
    </row>
    <row r="16" spans="1:24" ht="15.75" thickBot="1" x14ac:dyDescent="0.3">
      <c r="A16" s="13">
        <v>15</v>
      </c>
      <c r="B16" s="16" t="str">
        <f>EN_PF_Year3!$D$13</f>
        <v>CCM Lao PDR</v>
      </c>
      <c r="C16" s="16" t="str">
        <f>EN_PF_Year3!$D$14</f>
        <v>Yes</v>
      </c>
      <c r="D16" s="16" t="str">
        <f>EN_PF_Year3!$D$15</f>
        <v>Yes</v>
      </c>
      <c r="E16" s="16" t="str">
        <f>EN_PF_Year3!$D$17</f>
        <v>LAO-CFUND-1906</v>
      </c>
      <c r="F16" s="18">
        <f>EN_PF_Year3!$D$18</f>
        <v>43739</v>
      </c>
      <c r="G16" s="18">
        <f>EN_PF_Year3!$D$19</f>
        <v>44926</v>
      </c>
      <c r="H16" s="16" t="str">
        <f>EN_PF_Year3!$D$20</f>
        <v>Year 3</v>
      </c>
      <c r="I16" s="16">
        <f>EN_PF_Year3!$D$21</f>
        <v>0</v>
      </c>
      <c r="J16" s="16">
        <f>EN_PF_Year3!$J$13</f>
        <v>0</v>
      </c>
      <c r="K16" s="19">
        <f>EN_PF_Year3!$J$14</f>
        <v>0</v>
      </c>
      <c r="L16" s="16" t="str">
        <f>EN_PF_Year3!$B$34</f>
        <v>Engagement</v>
      </c>
      <c r="M16" s="16" t="str">
        <f>EN_PF_Year3!$C$39</f>
        <v>Coordinating Mechanism constituencies actively engage and input into GF processes.</v>
      </c>
      <c r="N16" s="16" t="str">
        <f>EN_PF_QualitativeBaseline!$I$21</f>
        <v>2</v>
      </c>
      <c r="O16"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6" s="16">
        <f>EN_PF_QualitativeBaseline!$J$21</f>
        <v>0</v>
      </c>
      <c r="Q16" s="16" t="str">
        <f>EN_PF_Year3!D40</f>
        <v>Are non-state members actively engaged in all key committees (oversight, executive, ethics)?</v>
      </c>
      <c r="R16" s="19" t="str">
        <f>EN_PF_Year3!G40</f>
        <v>Yes: non-state members in chair or vice-chair roles in at least one committee, with mechanisms in place to replace members with low (below 70%) attendance rates.</v>
      </c>
      <c r="S16" s="16" t="str">
        <f>EN_PF_Year3!H40</f>
        <v>2</v>
      </c>
      <c r="T16" s="16">
        <f>EN_PF_Year3!I40</f>
        <v>0</v>
      </c>
      <c r="U16" s="16" t="str">
        <f>EN_PF_Year3!J40</f>
        <v>Governance manuals
Membership list (Partner Portal - GED updated in the last 6 months) of Committees
Meeting minutes with attendance lists
List of membership changes due to low attendance</v>
      </c>
      <c r="V16" s="16" t="str">
        <f>EN_PF_Year3!K40</f>
        <v>Baseline objective = 2     Preliminary score = 2</v>
      </c>
      <c r="W16" s="16">
        <f>EN_PF_Year3!L40</f>
        <v>0</v>
      </c>
      <c r="X16" s="16">
        <f>EN_PF_Year3!M40</f>
        <v>0</v>
      </c>
    </row>
    <row r="17" spans="1:24" ht="15.75" thickBot="1" x14ac:dyDescent="0.3">
      <c r="A17" s="13">
        <v>16</v>
      </c>
      <c r="B17" s="16" t="str">
        <f>EN_PF_Year3!$D$13</f>
        <v>CCM Lao PDR</v>
      </c>
      <c r="C17" s="16" t="str">
        <f>EN_PF_Year3!$D$14</f>
        <v>Yes</v>
      </c>
      <c r="D17" s="16" t="str">
        <f>EN_PF_Year3!$D$15</f>
        <v>Yes</v>
      </c>
      <c r="E17" s="16" t="str">
        <f>EN_PF_Year3!$D$17</f>
        <v>LAO-CFUND-1906</v>
      </c>
      <c r="F17" s="18">
        <f>EN_PF_Year3!$D$18</f>
        <v>43739</v>
      </c>
      <c r="G17" s="18">
        <f>EN_PF_Year3!$D$19</f>
        <v>44926</v>
      </c>
      <c r="H17" s="16" t="str">
        <f>EN_PF_Year3!$D$20</f>
        <v>Year 3</v>
      </c>
      <c r="I17" s="16">
        <f>EN_PF_Year3!$D$21</f>
        <v>0</v>
      </c>
      <c r="J17" s="16">
        <f>EN_PF_Year3!$J$13</f>
        <v>0</v>
      </c>
      <c r="K17" s="19">
        <f>EN_PF_Year3!$J$14</f>
        <v>0</v>
      </c>
      <c r="L17" s="16" t="str">
        <f>EN_PF_Year3!$B$34</f>
        <v>Engagement</v>
      </c>
      <c r="M17" s="16" t="str">
        <f>EN_PF_Year3!$C$41</f>
        <v>Coordinating Mechanism members (particularly CS representatives) carry out activities to solicit inputs from and provide feedback within their constituencies to contribute to sound decisions.</v>
      </c>
      <c r="N17" s="16" t="str">
        <f>EN_PF_QualitativeBaseline!$I$22</f>
        <v>2</v>
      </c>
      <c r="O17"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7" s="16">
        <f>EN_PF_QualitativeBaseline!$J$22</f>
        <v>0</v>
      </c>
      <c r="Q17" s="16" t="str">
        <f>EN_PF_Year3!D41</f>
        <v>Do Coordinating Mechanism members actively seek inputs from and provide feedback to their constituencies (particularly CS members, on barriers to access quality services)? (ER 5L)</v>
      </c>
      <c r="R17" s="19" t="str">
        <f>EN_PF_Year3!G41</f>
        <v>Yes:  Civil Society representatives hold at least two meetings per year to get inputs on Civil Society priorities and report to the GA what they are hearing from communities, there is a standing agenda point on CS in at least 50% of GA agendas.</v>
      </c>
      <c r="S17" s="16" t="str">
        <f>EN_PF_Year3!H41</f>
        <v>2</v>
      </c>
      <c r="T17" s="16">
        <f>EN_PF_Year3!I41</f>
        <v>0</v>
      </c>
      <c r="U17" s="16" t="str">
        <f>EN_PF_Year3!J41</f>
        <v xml:space="preserve">Engagement/communication plans
Funding Agreement budgets and reports
Minutes of constituency meetings
General assembly meetings showing civil society priorities are discussed
CLM reports
</v>
      </c>
      <c r="V17" s="16" t="str">
        <f>EN_PF_Year3!K41</f>
        <v>Baseline objective = 2     Preliminary score = 2</v>
      </c>
      <c r="W17" s="16">
        <f>EN_PF_Year3!L41</f>
        <v>0</v>
      </c>
      <c r="X17" s="16">
        <f>EN_PF_Year3!M41</f>
        <v>0</v>
      </c>
    </row>
    <row r="18" spans="1:24" ht="15.75" thickBot="1" x14ac:dyDescent="0.3">
      <c r="A18" s="13">
        <v>17</v>
      </c>
      <c r="B18" s="16" t="str">
        <f>EN_PF_Year3!$D$13</f>
        <v>CCM Lao PDR</v>
      </c>
      <c r="C18" s="16" t="str">
        <f>EN_PF_Year3!$D$14</f>
        <v>Yes</v>
      </c>
      <c r="D18" s="16" t="str">
        <f>EN_PF_Year3!$D$15</f>
        <v>Yes</v>
      </c>
      <c r="E18" s="16" t="str">
        <f>EN_PF_Year3!$D$17</f>
        <v>LAO-CFUND-1906</v>
      </c>
      <c r="F18" s="18">
        <f>EN_PF_Year3!$D$18</f>
        <v>43739</v>
      </c>
      <c r="G18" s="18">
        <f>EN_PF_Year3!$D$19</f>
        <v>44926</v>
      </c>
      <c r="H18" s="16" t="str">
        <f>EN_PF_Year3!$D$20</f>
        <v>Year 3</v>
      </c>
      <c r="I18" s="16">
        <f>EN_PF_Year3!$D$21</f>
        <v>0</v>
      </c>
      <c r="J18" s="16">
        <f>EN_PF_Year3!$J$13</f>
        <v>0</v>
      </c>
      <c r="K18" s="19">
        <f>EN_PF_Year3!$J$14</f>
        <v>0</v>
      </c>
      <c r="L18" s="16" t="str">
        <f>EN_PF_Year3!$B$34</f>
        <v>Engagement</v>
      </c>
      <c r="M18" s="16" t="str">
        <f>EN_PF_Year3!$C$42</f>
        <v>Coordinating Mechanism representatives (particularly Civil Society members) engage in country processes on national response (e.g., National Strategic Planning, Program Reviews and Prioritization, Development Partner’s Country Operational Planning).</v>
      </c>
      <c r="N18" s="16" t="str">
        <f>EN_PF_QualitativeBaseline!$I$23</f>
        <v>0</v>
      </c>
      <c r="O18"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18" s="16">
        <f>EN_PF_QualitativeBaseline!$J$23</f>
        <v>0</v>
      </c>
      <c r="Q18" s="16" t="str">
        <f>EN_PF_Year3!D42</f>
        <v>Does the Coordinating Mechanism contribute to the development of the National Strategic Plan, including community-system strengthening?</v>
      </c>
      <c r="R18" s="19" t="str">
        <f>EN_PF_Year3!G42</f>
        <v xml:space="preserve">Yes: CM reviews National Strategic and/or Community-System Strengthening Plans once per year, but no evidence of leadership's follow-up on General Assemblies' decisions. </v>
      </c>
      <c r="S18" s="16" t="str">
        <f>EN_PF_Year3!H42</f>
        <v>2</v>
      </c>
      <c r="T18" s="16">
        <f>EN_PF_Year3!I42</f>
        <v>0</v>
      </c>
      <c r="U18" s="16" t="str">
        <f>EN_PF_Year3!J42</f>
        <v>National Strategic Health Plan
Meeting minutes
List of attendees</v>
      </c>
      <c r="V18" s="16" t="str">
        <f>EN_PF_Year3!K42</f>
        <v>Baseline objective = 0     Preliminary score = 2</v>
      </c>
      <c r="W18" s="16">
        <f>EN_PF_Year3!L42</f>
        <v>0</v>
      </c>
      <c r="X18" s="16">
        <f>EN_PF_Year3!M42</f>
        <v>0</v>
      </c>
    </row>
    <row r="19" spans="1:24" ht="15.75" thickBot="1" x14ac:dyDescent="0.3">
      <c r="A19" s="13">
        <v>18</v>
      </c>
      <c r="B19" s="16" t="str">
        <f>EN_PF_Year3!$D$13</f>
        <v>CCM Lao PDR</v>
      </c>
      <c r="C19" s="16" t="str">
        <f>EN_PF_Year3!$D$14</f>
        <v>Yes</v>
      </c>
      <c r="D19" s="16" t="str">
        <f>EN_PF_Year3!$D$15</f>
        <v>Yes</v>
      </c>
      <c r="E19" s="16" t="str">
        <f>EN_PF_Year3!$D$17</f>
        <v>LAO-CFUND-1906</v>
      </c>
      <c r="F19" s="18">
        <f>EN_PF_Year3!$D$18</f>
        <v>43739</v>
      </c>
      <c r="G19" s="18">
        <f>EN_PF_Year3!$D$19</f>
        <v>44926</v>
      </c>
      <c r="H19" s="16" t="str">
        <f>EN_PF_Year3!$D$20</f>
        <v>Year 3</v>
      </c>
      <c r="I19" s="16">
        <f>EN_PF_Year3!$D$21</f>
        <v>0</v>
      </c>
      <c r="J19" s="16">
        <f>EN_PF_Year3!$J$13</f>
        <v>0</v>
      </c>
      <c r="K19" s="19">
        <f>EN_PF_Year3!$J$14</f>
        <v>0</v>
      </c>
      <c r="L19" s="16" t="str">
        <f>EN_PF_Year3!$B$43</f>
        <v>Positioning</v>
      </c>
      <c r="M19" s="16" t="str">
        <f>EN_PF_Year3!$C$43</f>
        <v>The Coordinating Mechanism proactively defines a “strategic positioning” vision to ensure alignment with and/or integration into national structures/coordinating bodies and formal links with donor partner platforms.</v>
      </c>
      <c r="N19" s="16" t="str">
        <f>EN_PF_QualitativeBaseline!$I$24</f>
        <v>1</v>
      </c>
      <c r="O19"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19" s="16">
        <f>EN_PF_QualitativeBaseline!$J$24</f>
        <v>0</v>
      </c>
      <c r="Q19" s="16" t="str">
        <f>EN_PF_Year3!D43</f>
        <v>Does the Coordinating Mechanism know the health governance landscape they operate in?</v>
      </c>
      <c r="R19" s="19" t="str">
        <f>EN_PF_Year3!G43</f>
        <v xml:space="preserve">Yes: there is a recent mapping of the health governance landscape and closer engagement begun with other institutions coordinating health programs in the country / region. </v>
      </c>
      <c r="S19" s="16" t="str">
        <f>EN_PF_Year3!H43</f>
        <v>2</v>
      </c>
      <c r="T19" s="16">
        <f>EN_PF_Year3!I43</f>
        <v>0</v>
      </c>
      <c r="U19" s="16" t="str">
        <f>EN_PF_Year3!J43</f>
        <v>Mapping of health governance landscape
Positioning Plan
Memorandum of Understanding
Meeting minutes showing an integrated review of Global Fund and national / regional programs.</v>
      </c>
      <c r="V19" s="16" t="str">
        <f>EN_PF_Year3!K43</f>
        <v>Baseline objective = 1     Preliminary score = 2</v>
      </c>
      <c r="W19" s="16">
        <f>EN_PF_Year3!L43</f>
        <v>0</v>
      </c>
      <c r="X19" s="16">
        <f>EN_PF_Year3!M43</f>
        <v>0</v>
      </c>
    </row>
    <row r="20" spans="1:24" ht="15.75" thickBot="1" x14ac:dyDescent="0.3">
      <c r="A20" s="13">
        <v>19</v>
      </c>
      <c r="B20" s="16" t="str">
        <f>EN_PF_Year3!$D$13</f>
        <v>CCM Lao PDR</v>
      </c>
      <c r="C20" s="16" t="str">
        <f>EN_PF_Year3!$D$14</f>
        <v>Yes</v>
      </c>
      <c r="D20" s="16" t="str">
        <f>EN_PF_Year3!$D$15</f>
        <v>Yes</v>
      </c>
      <c r="E20" s="16" t="str">
        <f>EN_PF_Year3!$D$17</f>
        <v>LAO-CFUND-1906</v>
      </c>
      <c r="F20" s="18">
        <f>EN_PF_Year3!$D$18</f>
        <v>43739</v>
      </c>
      <c r="G20" s="18">
        <f>EN_PF_Year3!$D$19</f>
        <v>44926</v>
      </c>
      <c r="H20" s="16" t="str">
        <f>EN_PF_Year3!$D$20</f>
        <v>Year 3</v>
      </c>
      <c r="I20" s="16">
        <f>EN_PF_Year3!$D$21</f>
        <v>0</v>
      </c>
      <c r="J20" s="16">
        <f>EN_PF_Year3!$J$13</f>
        <v>0</v>
      </c>
      <c r="K20" s="19">
        <f>EN_PF_Year3!$J$14</f>
        <v>0</v>
      </c>
      <c r="L20" s="16" t="str">
        <f>EN_PF_Year3!$B$43</f>
        <v>Positioning</v>
      </c>
      <c r="M20" s="16" t="str">
        <f>EN_PF_Year3!$C$43</f>
        <v>The Coordinating Mechanism proactively defines a “strategic positioning” vision to ensure alignment with and/or integration into national structures/coordinating bodies and formal links with donor partner platforms.</v>
      </c>
      <c r="N20" s="16" t="str">
        <f>EN_PF_QualitativeBaseline!$I$24</f>
        <v>1</v>
      </c>
      <c r="O20"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20" s="16">
        <f>EN_PF_QualitativeBaseline!$J$24</f>
        <v>0</v>
      </c>
      <c r="Q20" s="16" t="str">
        <f>EN_PF_Year3!D44</f>
        <v>Does the Coordinating Mechanism have a Positioning plan?</v>
      </c>
      <c r="R20" s="19" t="str">
        <f>EN_PF_Year3!G44</f>
        <v xml:space="preserve">Yes: and it envisages a formal integration of Global Fund grant coordination with other health programs in the next 3 years. </v>
      </c>
      <c r="S20" s="16" t="str">
        <f>EN_PF_Year3!H44</f>
        <v>3</v>
      </c>
      <c r="T20" s="16">
        <f>EN_PF_Year3!I44</f>
        <v>0</v>
      </c>
      <c r="U20" s="16" t="str">
        <f>EN_PF_Year3!J44</f>
        <v xml:space="preserve">Memorandum of Understanding / governmental decree on integration of health coordination functions
Positioning plan
Minutes of joint meetings on health programs review
</v>
      </c>
      <c r="V20" s="16" t="str">
        <f>EN_PF_Year3!K44</f>
        <v>Baseline objective = 1     Preliminary score = 3</v>
      </c>
      <c r="W20" s="16">
        <f>EN_PF_Year3!L44</f>
        <v>0</v>
      </c>
      <c r="X20" s="16">
        <f>EN_PF_Year3!M44</f>
        <v>0</v>
      </c>
    </row>
    <row r="21" spans="1:24" ht="15.75" thickBot="1" x14ac:dyDescent="0.3">
      <c r="A21" s="13">
        <v>20</v>
      </c>
      <c r="B21" s="16" t="str">
        <f>EN_PF_Year3!$D$13</f>
        <v>CCM Lao PDR</v>
      </c>
      <c r="C21" s="16" t="str">
        <f>EN_PF_Year3!$D$14</f>
        <v>Yes</v>
      </c>
      <c r="D21" s="16" t="str">
        <f>EN_PF_Year3!$D$15</f>
        <v>Yes</v>
      </c>
      <c r="E21" s="16" t="str">
        <f>EN_PF_Year3!$D$17</f>
        <v>LAO-CFUND-1906</v>
      </c>
      <c r="F21" s="18">
        <f>EN_PF_Year3!$D$18</f>
        <v>43739</v>
      </c>
      <c r="G21" s="18">
        <f>EN_PF_Year3!$D$19</f>
        <v>44926</v>
      </c>
      <c r="H21" s="16" t="str">
        <f>EN_PF_Year3!$D$20</f>
        <v>Year 3</v>
      </c>
      <c r="I21" s="16">
        <f>EN_PF_Year3!$D$21</f>
        <v>0</v>
      </c>
      <c r="J21" s="16">
        <f>EN_PF_Year3!$J$13</f>
        <v>0</v>
      </c>
      <c r="K21" s="19">
        <f>EN_PF_Year3!$J$14</f>
        <v>0</v>
      </c>
      <c r="L21" s="16" t="str">
        <f>EN_PF_Year3!$B$43</f>
        <v>Positioning</v>
      </c>
      <c r="M21" s="16" t="str">
        <f>EN_PF_Year3!$C$45</f>
        <v>The Coordinating Mechanism ensures buy-in and ownership of the vision by all relevant stakeholders (particularly national government).</v>
      </c>
      <c r="N21" s="16" t="str">
        <f>EN_PF_QualitativeBaseline!$I$25</f>
        <v>1</v>
      </c>
      <c r="O21"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21" s="16">
        <f>EN_PF_QualitativeBaseline!$J$25</f>
        <v>0</v>
      </c>
      <c r="Q21" s="16" t="str">
        <f>EN_PF_Year3!D45</f>
        <v>How strong are linkages between the Coordinating Mechanism and other health governance platforms?</v>
      </c>
      <c r="R21" s="19" t="str">
        <f>EN_PF_Year3!G45</f>
        <v xml:space="preserve">No integrated governance structures but shared data (private or national database) and monitoring tools with other health governance bodies, (including ones for pandemic preparedness and health systems strengthening) and joint technical meetings on program monitoring or oversight. </v>
      </c>
      <c r="S21" s="16" t="str">
        <f>EN_PF_Year3!H45</f>
        <v>2</v>
      </c>
      <c r="T21" s="16" t="str">
        <f>EN_PF_Year3!I45</f>
        <v xml:space="preserve">The CCM Website can be accessed by other health platforms and CCM can access to the MOH database (DHIS2). The CCM representatives participated in the meeting of HANSA program. </v>
      </c>
      <c r="U21" s="16" t="str">
        <f>EN_PF_Year3!J45</f>
        <v>Memorandum of understanding with outlined collaboration protocol
Oversight tools (for instance, dashboards)
Technical committees meeting minutes</v>
      </c>
      <c r="V21" s="16" t="str">
        <f>EN_PF_Year3!K45</f>
        <v>Baseline objective = 1     Preliminary score = 2</v>
      </c>
      <c r="W21" s="16">
        <f>EN_PF_Year3!L45</f>
        <v>0</v>
      </c>
      <c r="X21" s="16">
        <f>EN_PF_Year3!M45</f>
        <v>0</v>
      </c>
    </row>
    <row r="22" spans="1:24" ht="15.75" thickBot="1" x14ac:dyDescent="0.3">
      <c r="A22" s="13">
        <v>21</v>
      </c>
      <c r="B22" s="16" t="str">
        <f>EN_PF_Year3!$D$13</f>
        <v>CCM Lao PDR</v>
      </c>
      <c r="C22" s="16" t="str">
        <f>EN_PF_Year3!$D$14</f>
        <v>Yes</v>
      </c>
      <c r="D22" s="16" t="str">
        <f>EN_PF_Year3!$D$15</f>
        <v>Yes</v>
      </c>
      <c r="E22" s="16" t="str">
        <f>EN_PF_Year3!$D$17</f>
        <v>LAO-CFUND-1906</v>
      </c>
      <c r="F22" s="18">
        <f>EN_PF_Year3!$D$18</f>
        <v>43739</v>
      </c>
      <c r="G22" s="18">
        <f>EN_PF_Year3!$D$19</f>
        <v>44926</v>
      </c>
      <c r="H22" s="16" t="str">
        <f>EN_PF_Year3!$D$20</f>
        <v>Year 3</v>
      </c>
      <c r="I22" s="16">
        <f>EN_PF_Year3!$D$21</f>
        <v>0</v>
      </c>
      <c r="J22" s="16">
        <f>EN_PF_Year3!$J$13</f>
        <v>0</v>
      </c>
      <c r="K22" s="19">
        <f>EN_PF_Year3!$J$14</f>
        <v>0</v>
      </c>
      <c r="L22" s="16" t="str">
        <f>EN_PF_Year3!$B$43</f>
        <v>Positioning</v>
      </c>
      <c r="M22" s="16" t="str">
        <f>EN_PF_Year3!$C$46</f>
        <v>The Coordinating Mechanism aligns its functions and structures with the national response for enhanced harmonization of systems, processes and decision-making for greater impact and efficiencies.</v>
      </c>
      <c r="N22" s="16" t="str">
        <f>EN_PF_QualitativeBaseline!$I$26</f>
        <v>2</v>
      </c>
      <c r="O22"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22" s="16">
        <f>EN_PF_QualitativeBaseline!$J$26</f>
        <v>0</v>
      </c>
      <c r="Q22" s="16" t="str">
        <f>EN_PF_Year3!D46</f>
        <v>How well is the Coordinating Mechanism integrated with the health governance of the country / region?</v>
      </c>
      <c r="R22" s="19" t="str">
        <f>EN_PF_Year3!G46</f>
        <v>Operations are focused on Global Fund programs but there are informal arrangements with larger health governance institutions, who are regularly consulted with and/or invited to attend General Assemblies.</v>
      </c>
      <c r="S22" s="16" t="str">
        <f>EN_PF_Year3!H46</f>
        <v>1</v>
      </c>
      <c r="T22" s="16">
        <f>EN_PF_Year3!I46</f>
        <v>0</v>
      </c>
      <c r="U22" s="16" t="str">
        <f>EN_PF_Year3!J46</f>
        <v>Assembly agendas and meeting minutes
Participants' list</v>
      </c>
      <c r="V22" s="16" t="str">
        <f>EN_PF_Year3!K46</f>
        <v>Baseline objective = 2     Preliminary score = 1</v>
      </c>
      <c r="W22" s="16">
        <f>EN_PF_Year3!L46</f>
        <v>0</v>
      </c>
      <c r="X22" s="16">
        <f>EN_PF_Year3!M46</f>
        <v>0</v>
      </c>
    </row>
    <row r="23" spans="1:24" ht="15.75" thickBot="1" x14ac:dyDescent="0.3">
      <c r="A23" s="13">
        <v>22</v>
      </c>
      <c r="B23" s="16" t="str">
        <f>EN_PF_Year3!$D$13</f>
        <v>CCM Lao PDR</v>
      </c>
      <c r="C23" s="16" t="str">
        <f>EN_PF_Year3!$D$14</f>
        <v>Yes</v>
      </c>
      <c r="D23" s="16" t="str">
        <f>EN_PF_Year3!$D$15</f>
        <v>Yes</v>
      </c>
      <c r="E23" s="16" t="str">
        <f>EN_PF_Year3!$D$17</f>
        <v>LAO-CFUND-1906</v>
      </c>
      <c r="F23" s="18">
        <f>EN_PF_Year3!$D$18</f>
        <v>43739</v>
      </c>
      <c r="G23" s="18">
        <f>EN_PF_Year3!$D$19</f>
        <v>44926</v>
      </c>
      <c r="H23" s="16" t="str">
        <f>EN_PF_Year3!$D$20</f>
        <v>Year 3</v>
      </c>
      <c r="I23" s="16">
        <f>EN_PF_Year3!$D$21</f>
        <v>0</v>
      </c>
      <c r="J23" s="16">
        <f>EN_PF_Year3!$J$13</f>
        <v>0</v>
      </c>
      <c r="K23" s="19">
        <f>EN_PF_Year3!$J$14</f>
        <v>0</v>
      </c>
      <c r="L23" s="16" t="str">
        <f>EN_PF_Year3!$B$43</f>
        <v>Positioning</v>
      </c>
      <c r="M23" s="16" t="str">
        <f>EN_PF_Year3!$C$47</f>
        <v>Civil society members and communities are proactively represented and engaged in coordination, governance and decision-making bodies and processes beyond the Coordinating Mechanism.</v>
      </c>
      <c r="N23" s="16" t="str">
        <f>EN_PF_QualitativeBaseline!$I$27</f>
        <v>1</v>
      </c>
      <c r="O23"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23" s="16">
        <f>EN_PF_QualitativeBaseline!$J$27</f>
        <v>0</v>
      </c>
      <c r="Q23" s="16" t="str">
        <f>EN_PF_Year3!D47</f>
        <v>Is civil society engagement being institutionalised?</v>
      </c>
      <c r="R23" s="19" t="str">
        <f>EN_PF_Year3!G47</f>
        <v>Yes:  representatives from key vulnerable communities are part of the CCM Executive Committee / Board and engaged in other coordination platforms, beyond the Coordinating Mechanism.</v>
      </c>
      <c r="S23" s="16" t="str">
        <f>EN_PF_Year3!H47</f>
        <v>2</v>
      </c>
      <c r="T23" s="16" t="str">
        <f>EN_PF_Year3!I47</f>
        <v xml:space="preserve">The representatives from key vulnaable communities have been engaged in other coordination platfors, beyond the CCM,e.g.CSO-KP-PLWD Coordination Committee.  </v>
      </c>
      <c r="U23" s="16" t="str">
        <f>EN_PF_Year3!J47</f>
        <v>Mapping of health governance platforms
Meeting minutes documenting civil society priorities in discussions
Contact information of other coordinating platforms engaging with civil society.</v>
      </c>
      <c r="V23" s="16" t="str">
        <f>EN_PF_Year3!K47</f>
        <v>Baseline objective = 1     Preliminary score = 2</v>
      </c>
      <c r="W23" s="16">
        <f>EN_PF_Year3!L47</f>
        <v>0</v>
      </c>
      <c r="X23" s="16">
        <f>EN_PF_Year3!M47</f>
        <v>0</v>
      </c>
    </row>
    <row r="24" spans="1:24" ht="15.75" thickBot="1" x14ac:dyDescent="0.3">
      <c r="A24" s="13">
        <v>23</v>
      </c>
      <c r="B24" s="16" t="str">
        <f>EN_PF_Year3!$D$13</f>
        <v>CCM Lao PDR</v>
      </c>
      <c r="C24" s="16" t="str">
        <f>EN_PF_Year3!$D$14</f>
        <v>Yes</v>
      </c>
      <c r="D24" s="16" t="str">
        <f>EN_PF_Year3!$D$15</f>
        <v>Yes</v>
      </c>
      <c r="E24" s="16" t="str">
        <f>EN_PF_Year3!$D$17</f>
        <v>LAO-CFUND-1906</v>
      </c>
      <c r="F24" s="18">
        <f>EN_PF_Year3!$D$18</f>
        <v>43739</v>
      </c>
      <c r="G24" s="18">
        <f>EN_PF_Year3!$D$19</f>
        <v>44926</v>
      </c>
      <c r="H24" s="16" t="str">
        <f>EN_PF_Year3!$D$20</f>
        <v>Year 3</v>
      </c>
      <c r="I24" s="16">
        <f>EN_PF_Year3!$D$21</f>
        <v>0</v>
      </c>
      <c r="J24" s="16">
        <f>EN_PF_Year3!$J$13</f>
        <v>0</v>
      </c>
      <c r="K24" s="19">
        <f>EN_PF_Year3!$J$14</f>
        <v>0</v>
      </c>
      <c r="L24" s="16" t="str">
        <f>EN_PF_Year3!$B$48</f>
        <v>Operations</v>
      </c>
      <c r="M24" s="16" t="str">
        <f>EN_PF_Year3!$C$48</f>
        <v xml:space="preserve">The Coordinating Mechanism ensures ethical decision-making processes are adopted and mainstreamed throughout its operations. </v>
      </c>
      <c r="N24" s="16" t="str">
        <f>EN_PF_QualitativeBaseline!$I$28</f>
        <v>2</v>
      </c>
      <c r="O24"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24" s="16">
        <f>EN_PF_QualitativeBaseline!$J$28</f>
        <v>0</v>
      </c>
      <c r="Q24" s="16" t="str">
        <f>EN_PF_Year3!D48</f>
        <v>Does your Coordinating Mechanism have mechanisms to ensure ethical decision-making? (ER 6N, 6Q, 6R)</v>
      </c>
      <c r="R24" s="19" t="str">
        <f>EN_PF_Year3!G48</f>
        <v>Yes: CoI forms signed, Code of Conduct applied, trainings planned (mandatory Ethics module + module on Ethics committee), Ethics Focal Point / Committee installed.</v>
      </c>
      <c r="S24" s="16" t="str">
        <f>EN_PF_Year3!H48</f>
        <v>2</v>
      </c>
      <c r="T24" s="16" t="str">
        <f>EN_PF_Year3!I48</f>
        <v>All CCM Secretariat staffs and some CCM members are trained on Ethics.</v>
      </c>
      <c r="U24" s="16" t="str">
        <f>EN_PF_Year3!J48</f>
        <v>CoI Policy
CoI forms
Meeting minutes notifying the approval of the Code of Conduct
Ethics Focal Point contact / Committee members list</v>
      </c>
      <c r="V24" s="16" t="str">
        <f>EN_PF_Year3!K48</f>
        <v>Baseline objective = 2     Preliminary score = 2</v>
      </c>
      <c r="W24" s="16">
        <f>EN_PF_Year3!L48</f>
        <v>0</v>
      </c>
      <c r="X24" s="16">
        <f>EN_PF_Year3!M48</f>
        <v>0</v>
      </c>
    </row>
    <row r="25" spans="1:24" ht="15.75" thickBot="1" x14ac:dyDescent="0.3">
      <c r="A25" s="13">
        <v>24</v>
      </c>
      <c r="B25" s="16" t="str">
        <f>EN_PF_Year3!$D$13</f>
        <v>CCM Lao PDR</v>
      </c>
      <c r="C25" s="16" t="str">
        <f>EN_PF_Year3!$D$14</f>
        <v>Yes</v>
      </c>
      <c r="D25" s="16" t="str">
        <f>EN_PF_Year3!$D$15</f>
        <v>Yes</v>
      </c>
      <c r="E25" s="16" t="str">
        <f>EN_PF_Year3!$D$17</f>
        <v>LAO-CFUND-1906</v>
      </c>
      <c r="F25" s="18">
        <f>EN_PF_Year3!$D$18</f>
        <v>43739</v>
      </c>
      <c r="G25" s="18">
        <f>EN_PF_Year3!$D$19</f>
        <v>44926</v>
      </c>
      <c r="H25" s="16" t="str">
        <f>EN_PF_Year3!$D$20</f>
        <v>Year 3</v>
      </c>
      <c r="I25" s="16">
        <f>EN_PF_Year3!$D$21</f>
        <v>0</v>
      </c>
      <c r="J25" s="16">
        <f>EN_PF_Year3!$J$13</f>
        <v>0</v>
      </c>
      <c r="K25" s="19">
        <f>EN_PF_Year3!$J$14</f>
        <v>0</v>
      </c>
      <c r="L25" s="16" t="str">
        <f>EN_PF_Year3!$B$48</f>
        <v>Operations</v>
      </c>
      <c r="M25" s="16" t="str">
        <f>EN_PF_Year3!$C$48</f>
        <v xml:space="preserve">The Coordinating Mechanism ensures ethical decision-making processes are adopted and mainstreamed throughout its operations. </v>
      </c>
      <c r="N25" s="16" t="str">
        <f>EN_PF_QualitativeBaseline!$I$28</f>
        <v>2</v>
      </c>
      <c r="O25"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25" s="16">
        <f>EN_PF_QualitativeBaseline!$J$28</f>
        <v>0</v>
      </c>
      <c r="Q25" s="16" t="str">
        <f>EN_PF_Year3!D49</f>
        <v>Does the Coordinating Mechanism follow procedures to prevent or mitigate conflicts of interest, for instance during the (PR) selection process? (ER 6O, 6P)</v>
      </c>
      <c r="R25" s="19" t="str">
        <f>EN_PF_Year3!G49</f>
        <v>No: The Chair is an SR and / or implementers (members or alternates) have more than 2 seats per sector (GOV / ML-BL / Non-state sectors)</v>
      </c>
      <c r="S25" s="16" t="str">
        <f>EN_PF_Year3!H49</f>
        <v>1</v>
      </c>
      <c r="T25" s="16" t="str">
        <f>EN_PF_Year3!I49</f>
        <v>Only members/alternates from Non-state sectors are SR which have more than 2 seats.</v>
      </c>
      <c r="U25" s="16" t="str">
        <f>EN_PF_Year3!J49</f>
        <v>CoI Policy
CoI forms
Membership list (Partner Portal - GED updated in the last 6 months)</v>
      </c>
      <c r="V25" s="16" t="str">
        <f>EN_PF_Year3!K49</f>
        <v>Baseline objective = 2     Preliminary score = 1</v>
      </c>
      <c r="W25" s="16">
        <f>EN_PF_Year3!L49</f>
        <v>0</v>
      </c>
      <c r="X25" s="16">
        <f>EN_PF_Year3!M49</f>
        <v>0</v>
      </c>
    </row>
    <row r="26" spans="1:24" ht="15.75" thickBot="1" x14ac:dyDescent="0.3">
      <c r="A26" s="13">
        <v>25</v>
      </c>
      <c r="B26" s="16" t="str">
        <f>EN_PF_Year3!$D$13</f>
        <v>CCM Lao PDR</v>
      </c>
      <c r="C26" s="16" t="str">
        <f>EN_PF_Year3!$D$14</f>
        <v>Yes</v>
      </c>
      <c r="D26" s="16" t="str">
        <f>EN_PF_Year3!$D$15</f>
        <v>Yes</v>
      </c>
      <c r="E26" s="16" t="str">
        <f>EN_PF_Year3!$D$17</f>
        <v>LAO-CFUND-1906</v>
      </c>
      <c r="F26" s="18">
        <f>EN_PF_Year3!$D$18</f>
        <v>43739</v>
      </c>
      <c r="G26" s="18">
        <f>EN_PF_Year3!$D$19</f>
        <v>44926</v>
      </c>
      <c r="H26" s="16" t="str">
        <f>EN_PF_Year3!$D$20</f>
        <v>Year 3</v>
      </c>
      <c r="I26" s="16">
        <f>EN_PF_Year3!$D$21</f>
        <v>0</v>
      </c>
      <c r="J26" s="16">
        <f>EN_PF_Year3!$J$13</f>
        <v>0</v>
      </c>
      <c r="K26" s="19">
        <f>EN_PF_Year3!$J$14</f>
        <v>0</v>
      </c>
      <c r="L26" s="16" t="str">
        <f>EN_PF_Year3!$B$48</f>
        <v>Operations</v>
      </c>
      <c r="M26" s="16" t="str">
        <f>EN_PF_Year3!$C$48</f>
        <v xml:space="preserve">The Coordinating Mechanism ensures ethical decision-making processes are adopted and mainstreamed throughout its operations. </v>
      </c>
      <c r="N26" s="16" t="str">
        <f>EN_PF_QualitativeBaseline!$I$28</f>
        <v>2</v>
      </c>
      <c r="O26"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26" s="16">
        <f>EN_PF_QualitativeBaseline!$J$28</f>
        <v>0</v>
      </c>
      <c r="Q26" s="16" t="str">
        <f>EN_PF_Year3!D50</f>
        <v>Does the Coordinating Mechanism respond to Ethical issues? (ER 6S)</v>
      </c>
      <c r="R26" s="19" t="str">
        <f>EN_PF_Year3!G50</f>
        <v>Yes: Ethics Focal Point / Committee provides annual updates to leadership and General Assemblies. Allegations of misconduct are reactively managed without a risk/response framework.</v>
      </c>
      <c r="S26" s="16" t="str">
        <f>EN_PF_Year3!H50</f>
        <v>1</v>
      </c>
      <c r="T26" s="16">
        <f>EN_PF_Year3!I50</f>
        <v>0</v>
      </c>
      <c r="U26" s="16" t="str">
        <f>EN_PF_Year3!J50</f>
        <v>Ethics Focal Point contact / Committee members list
Meeting minutes on Ethics updates</v>
      </c>
      <c r="V26" s="16" t="str">
        <f>EN_PF_Year3!K50</f>
        <v>Baseline objective = 2     Preliminary score = 1</v>
      </c>
      <c r="W26" s="16">
        <f>EN_PF_Year3!L50</f>
        <v>0</v>
      </c>
      <c r="X26" s="16">
        <f>EN_PF_Year3!M50</f>
        <v>0</v>
      </c>
    </row>
    <row r="27" spans="1:24" ht="15.75" thickBot="1" x14ac:dyDescent="0.3">
      <c r="A27" s="13">
        <v>26</v>
      </c>
      <c r="B27" s="16" t="str">
        <f>EN_PF_Year3!$D$13</f>
        <v>CCM Lao PDR</v>
      </c>
      <c r="C27" s="16" t="str">
        <f>EN_PF_Year3!$D$14</f>
        <v>Yes</v>
      </c>
      <c r="D27" s="16" t="str">
        <f>EN_PF_Year3!$D$15</f>
        <v>Yes</v>
      </c>
      <c r="E27" s="16" t="str">
        <f>EN_PF_Year3!$D$17</f>
        <v>LAO-CFUND-1906</v>
      </c>
      <c r="F27" s="18">
        <f>EN_PF_Year3!$D$18</f>
        <v>43739</v>
      </c>
      <c r="G27" s="18">
        <f>EN_PF_Year3!$D$19</f>
        <v>44926</v>
      </c>
      <c r="H27" s="16" t="str">
        <f>EN_PF_Year3!$D$20</f>
        <v>Year 3</v>
      </c>
      <c r="I27" s="16">
        <f>EN_PF_Year3!$D$21</f>
        <v>0</v>
      </c>
      <c r="J27" s="16">
        <f>EN_PF_Year3!$J$13</f>
        <v>0</v>
      </c>
      <c r="K27" s="19">
        <f>EN_PF_Year3!$J$14</f>
        <v>0</v>
      </c>
      <c r="L27" s="16" t="str">
        <f>EN_PF_Year3!$B$48</f>
        <v>Operations</v>
      </c>
      <c r="M27" s="16" t="str">
        <f>EN_PF_Year3!$C$51</f>
        <v>The Coordinating Mechanism Secretariat provides effective administratve and  strategic support to the CM and its structures.</v>
      </c>
      <c r="N27" s="16" t="str">
        <f>EN_PF_QualitativeBaseline!$I$29</f>
        <v>2</v>
      </c>
      <c r="O27"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27" s="16">
        <f>EN_PF_QualitativeBaseline!$J$29</f>
        <v>0</v>
      </c>
      <c r="Q27" s="16" t="str">
        <f>EN_PF_Year3!D51</f>
        <v>Does the CM Secretariat provide adequate information to Coordinating Mechanism members, to help them perform their role?</v>
      </c>
      <c r="R27" s="19" t="str">
        <f>EN_PF_Year3!G51</f>
        <v>Yes: Regularly shares guidance on Global Fund objectives and strategies, provides good support to meetings. Does not perform regular analysis of data for decision making but follows up on CM.</v>
      </c>
      <c r="S27" s="16" t="str">
        <f>EN_PF_Year3!H51</f>
        <v>2</v>
      </c>
      <c r="T27" s="16">
        <f>EN_PF_Year3!I51</f>
        <v>0</v>
      </c>
      <c r="U27" s="16" t="str">
        <f>EN_PF_Year3!J51</f>
        <v>Secretariat performance management form
Report of CM Secretariat activities
CM members endorsement of budget and use of funds</v>
      </c>
      <c r="V27" s="16" t="str">
        <f>EN_PF_Year3!K51</f>
        <v>Baseline objective = 2     Preliminary score = 2</v>
      </c>
      <c r="W27" s="16">
        <f>EN_PF_Year3!L51</f>
        <v>0</v>
      </c>
      <c r="X27" s="16">
        <f>EN_PF_Year3!M51</f>
        <v>0</v>
      </c>
    </row>
    <row r="28" spans="1:24" ht="15.75" thickBot="1" x14ac:dyDescent="0.3">
      <c r="A28" s="13">
        <v>27</v>
      </c>
      <c r="B28" s="16" t="str">
        <f>EN_PF_Year3!$D$13</f>
        <v>CCM Lao PDR</v>
      </c>
      <c r="C28" s="16" t="str">
        <f>EN_PF_Year3!$D$14</f>
        <v>Yes</v>
      </c>
      <c r="D28" s="16" t="str">
        <f>EN_PF_Year3!$D$15</f>
        <v>Yes</v>
      </c>
      <c r="E28" s="16" t="str">
        <f>EN_PF_Year3!$D$17</f>
        <v>LAO-CFUND-1906</v>
      </c>
      <c r="F28" s="18">
        <f>EN_PF_Year3!$D$18</f>
        <v>43739</v>
      </c>
      <c r="G28" s="18">
        <f>EN_PF_Year3!$D$19</f>
        <v>44926</v>
      </c>
      <c r="H28" s="16" t="str">
        <f>EN_PF_Year3!$D$20</f>
        <v>Year 3</v>
      </c>
      <c r="I28" s="16">
        <f>EN_PF_Year3!$D$21</f>
        <v>0</v>
      </c>
      <c r="J28" s="16">
        <f>EN_PF_Year3!$J$13</f>
        <v>0</v>
      </c>
      <c r="K28" s="19">
        <f>EN_PF_Year3!$J$14</f>
        <v>0</v>
      </c>
      <c r="L28" s="16" t="str">
        <f>EN_PF_Year3!$B$48</f>
        <v>Operations</v>
      </c>
      <c r="M28" s="16" t="str">
        <f>EN_PF_Year3!$C$51</f>
        <v>The Coordinating Mechanism Secretariat provides effective administratve and  strategic support to the CM and its structures.</v>
      </c>
      <c r="N28" s="16" t="str">
        <f>EN_PF_QualitativeBaseline!$I$29</f>
        <v>2</v>
      </c>
      <c r="O28"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28" s="16">
        <f>EN_PF_QualitativeBaseline!$J$29</f>
        <v>0</v>
      </c>
      <c r="Q28" s="16" t="str">
        <f>EN_PF_Year3!D52</f>
        <v>Does the Leadership provide effective performance management of CM Secretariat staff?</v>
      </c>
      <c r="R28" s="19" t="str">
        <f>EN_PF_Year3!G52</f>
        <v>No: CM Secretariat staff do not have individual performance metrics, but the CM provides feedback on an annual basis through surveys / General Assemblies / CM leadership.</v>
      </c>
      <c r="S28" s="16" t="str">
        <f>EN_PF_Year3!H52</f>
        <v>1</v>
      </c>
      <c r="T28" s="16" t="str">
        <f>EN_PF_Year3!I52</f>
        <v>CCM Secretariat functions has been evaluated annually by the CCM members during the CCM pleanary meeting.</v>
      </c>
      <c r="U28" s="16" t="str">
        <f>EN_PF_Year3!J52</f>
        <v>Secretariat Evaluation report
Secretariat performance management form
Meeting minutes with the validation of Secretariat's performance
Annual performance objectives and corrective actions, improvement plans for staff members
Country Team Assessment (if available)</v>
      </c>
      <c r="V28" s="16" t="str">
        <f>EN_PF_Year3!K52</f>
        <v>Baseline objective = 2     Preliminary score = 1</v>
      </c>
      <c r="W28" s="16">
        <f>EN_PF_Year3!L52</f>
        <v>0</v>
      </c>
      <c r="X28" s="16">
        <f>EN_PF_Year3!M52</f>
        <v>0</v>
      </c>
    </row>
    <row r="29" spans="1:24" ht="15.75" thickBot="1" x14ac:dyDescent="0.3">
      <c r="A29" s="13">
        <v>28</v>
      </c>
      <c r="B29" s="16" t="str">
        <f>EN_PF_Year3!$D$13</f>
        <v>CCM Lao PDR</v>
      </c>
      <c r="C29" s="16" t="str">
        <f>EN_PF_Year3!$D$14</f>
        <v>Yes</v>
      </c>
      <c r="D29" s="16" t="str">
        <f>EN_PF_Year3!$D$15</f>
        <v>Yes</v>
      </c>
      <c r="E29" s="16" t="str">
        <f>EN_PF_Year3!$D$17</f>
        <v>LAO-CFUND-1906</v>
      </c>
      <c r="F29" s="18">
        <f>EN_PF_Year3!$D$18</f>
        <v>43739</v>
      </c>
      <c r="G29" s="18">
        <f>EN_PF_Year3!$D$19</f>
        <v>44926</v>
      </c>
      <c r="H29" s="16" t="str">
        <f>EN_PF_Year3!$D$20</f>
        <v>Year 3</v>
      </c>
      <c r="I29" s="16">
        <f>EN_PF_Year3!$D$21</f>
        <v>0</v>
      </c>
      <c r="J29" s="16">
        <f>EN_PF_Year3!$J$13</f>
        <v>0</v>
      </c>
      <c r="K29" s="19">
        <f>EN_PF_Year3!$J$14</f>
        <v>0</v>
      </c>
      <c r="L29" s="16" t="str">
        <f>EN_PF_Year3!$B$48</f>
        <v>Operations</v>
      </c>
      <c r="M29" s="16" t="str">
        <f>EN_PF_Year3!$C$51</f>
        <v>The Coordinating Mechanism Secretariat provides effective administratve and  strategic support to the CM and its structures.</v>
      </c>
      <c r="N29" s="16" t="str">
        <f>EN_PF_QualitativeBaseline!$I$29</f>
        <v>2</v>
      </c>
      <c r="O29"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29" s="16">
        <f>EN_PF_QualitativeBaseline!$J$29</f>
        <v>0</v>
      </c>
      <c r="Q29" s="16" t="str">
        <f>EN_PF_Year3!D53</f>
        <v>Does the CM Secretariat ensure effective management of the Coordinating Mechanism's resources?</v>
      </c>
      <c r="R29" s="19" t="str">
        <f>EN_PF_Year3!G53</f>
        <v xml:space="preserve">Yes: absorption of funds is between 75% and 90%, there are no issues in the verification of expenses, good quality funding documents are sent at least annually to CM members for review and endorsement and shared with the Global Fund in a timely manner. </v>
      </c>
      <c r="S29" s="16" t="str">
        <f>EN_PF_Year3!H53</f>
        <v>2</v>
      </c>
      <c r="T29" s="16">
        <f>EN_PF_Year3!I53</f>
        <v>0</v>
      </c>
      <c r="U29" s="16" t="str">
        <f>EN_PF_Year3!J53</f>
        <v>LFA / Audit of CM expenses
CM funding documents
Compliance with the allocation of 15% of the annual budget to CS activities
Meeting minutes on results CM and Secretariat activities
Justification for under-absorption</v>
      </c>
      <c r="V29" s="16" t="str">
        <f>EN_PF_Year3!K53</f>
        <v>Baseline objective = 2     Preliminary score = 2</v>
      </c>
      <c r="W29" s="16">
        <f>EN_PF_Year3!L53</f>
        <v>0</v>
      </c>
      <c r="X29" s="16">
        <f>EN_PF_Year3!M53</f>
        <v>0</v>
      </c>
    </row>
    <row r="30" spans="1:24" ht="15.75" thickBot="1" x14ac:dyDescent="0.3">
      <c r="A30" s="13">
        <v>29</v>
      </c>
      <c r="B30" s="16" t="str">
        <f>EN_PF_Year3!$D$13</f>
        <v>CCM Lao PDR</v>
      </c>
      <c r="C30" s="16" t="str">
        <f>EN_PF_Year3!$D$14</f>
        <v>Yes</v>
      </c>
      <c r="D30" s="16" t="str">
        <f>EN_PF_Year3!$D$15</f>
        <v>Yes</v>
      </c>
      <c r="E30" s="16" t="str">
        <f>EN_PF_Year3!$D$17</f>
        <v>LAO-CFUND-1906</v>
      </c>
      <c r="F30" s="18">
        <f>EN_PF_Year3!$D$18</f>
        <v>43739</v>
      </c>
      <c r="G30" s="18">
        <f>EN_PF_Year3!$D$19</f>
        <v>44926</v>
      </c>
      <c r="H30" s="16" t="str">
        <f>EN_PF_Year3!$D$20</f>
        <v>Year 3</v>
      </c>
      <c r="I30" s="16">
        <f>EN_PF_Year3!$D$21</f>
        <v>0</v>
      </c>
      <c r="J30" s="16">
        <f>EN_PF_Year3!$J$13</f>
        <v>0</v>
      </c>
      <c r="K30" s="19">
        <f>EN_PF_Year3!$J$14</f>
        <v>0</v>
      </c>
      <c r="L30" s="16" t="str">
        <f>EN_PF_Year3!$B$48</f>
        <v>Operations</v>
      </c>
      <c r="M30" s="16" t="str">
        <f>EN_PF_Year3!$C$54</f>
        <v xml:space="preserve">The Coordinating Mechanism has appropriate and relevant structures in place, which operate optimally and efficiently. </v>
      </c>
      <c r="N30" s="16" t="str">
        <f>EN_PF_QualitativeBaseline!$I$30</f>
        <v>2</v>
      </c>
      <c r="O30"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30" s="16">
        <f>EN_PF_QualitativeBaseline!$J$30</f>
        <v>0</v>
      </c>
      <c r="Q30" s="16" t="str">
        <f>EN_PF_Year3!D54</f>
        <v>Are Coordinating Mechanism members prepared to take on their role?</v>
      </c>
      <c r="R30" s="19" t="str">
        <f>EN_PF_Year3!G54</f>
        <v xml:space="preserve">Yes: CM members have completed at least the essential modules of the online training and receive a "refresher" at the annual CM retreat. </v>
      </c>
      <c r="S30" s="16" t="str">
        <f>EN_PF_Year3!H54</f>
        <v>1</v>
      </c>
      <c r="T30" s="16" t="str">
        <f>EN_PF_Year3!I54</f>
        <v>The key documents e.g. CCM TOR, COI policy, Code of Ethical Conduct are provided to the new CCM members thought E-mail. The new CCM members are also requested to sign the COI declaration form and Code of Ethical Conduct compliance declaration forms.</v>
      </c>
      <c r="U30" s="16" t="str">
        <f>EN_PF_Year3!J54</f>
        <v>Meeting Minutes of the orientation session
Participants List
Orientation material
Completion list of online trainings</v>
      </c>
      <c r="V30" s="16" t="str">
        <f>EN_PF_Year3!K54</f>
        <v>Baseline objective = 2     Preliminary score = 1</v>
      </c>
      <c r="W30" s="16">
        <f>EN_PF_Year3!L54</f>
        <v>0</v>
      </c>
      <c r="X30" s="16">
        <f>EN_PF_Year3!M54</f>
        <v>0</v>
      </c>
    </row>
    <row r="31" spans="1:24" ht="15.75" thickBot="1" x14ac:dyDescent="0.3">
      <c r="A31" s="13">
        <v>30</v>
      </c>
      <c r="B31" s="16" t="str">
        <f>EN_PF_Year3!$D$13</f>
        <v>CCM Lao PDR</v>
      </c>
      <c r="C31" s="16" t="str">
        <f>EN_PF_Year3!$D$14</f>
        <v>Yes</v>
      </c>
      <c r="D31" s="16" t="str">
        <f>EN_PF_Year3!$D$15</f>
        <v>Yes</v>
      </c>
      <c r="E31" s="16" t="str">
        <f>EN_PF_Year3!$D$17</f>
        <v>LAO-CFUND-1906</v>
      </c>
      <c r="F31" s="18">
        <f>EN_PF_Year3!$D$18</f>
        <v>43739</v>
      </c>
      <c r="G31" s="18">
        <f>EN_PF_Year3!$D$19</f>
        <v>44926</v>
      </c>
      <c r="H31" s="16" t="str">
        <f>EN_PF_Year3!$D$20</f>
        <v>Year 3</v>
      </c>
      <c r="I31" s="16">
        <f>EN_PF_Year3!$D$21</f>
        <v>0</v>
      </c>
      <c r="J31" s="16">
        <f>EN_PF_Year3!$J$13</f>
        <v>0</v>
      </c>
      <c r="K31" s="19">
        <f>EN_PF_Year3!$J$14</f>
        <v>0</v>
      </c>
      <c r="L31" s="16" t="str">
        <f>EN_PF_Year3!$B$48</f>
        <v>Operations</v>
      </c>
      <c r="M31" s="16" t="str">
        <f>EN_PF_Year3!$C$54</f>
        <v xml:space="preserve">The Coordinating Mechanism has appropriate and relevant structures in place, which operate optimally and efficiently. </v>
      </c>
      <c r="N31" s="16" t="str">
        <f>EN_PF_QualitativeBaseline!$I$30</f>
        <v>2</v>
      </c>
      <c r="O31"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31" s="16">
        <f>EN_PF_QualitativeBaseline!$J$30</f>
        <v>0</v>
      </c>
      <c r="Q31" s="16" t="str">
        <f>EN_PF_Year3!D55</f>
        <v xml:space="preserve">Does the Coordinating Mechanism regularly review its structure and associated governance documents to ensure relevance? 
Open seats to be assigned every cycle to an emerging targeted group or technical partner are encouraged. </v>
      </c>
      <c r="R31" s="19" t="str">
        <f>EN_PF_Year3!G55</f>
        <v>No: Governance documents and Terms of References (for Secretariats, technical committees etc..) updated in the last 5 years but none of the following included or planned: RSSH representation,TB, Malaria, Pandemic Preparedness focal point and Key Affected Populations</v>
      </c>
      <c r="S31" s="16" t="str">
        <f>EN_PF_Year3!H55</f>
        <v>1</v>
      </c>
      <c r="T31" s="16" t="str">
        <f>EN_PF_Year3!I55</f>
        <v xml:space="preserve">As CCM has a plan to integrate into HANSA Coordination Committee and then CCM positioning into the Health Sectorwide Coordination Committee, therefore, the update of CCM TOR is pending.  </v>
      </c>
      <c r="U31" s="16" t="str">
        <f>EN_PF_Year3!J55</f>
        <v>Governance manuals
Meeting minutes with approval of governance documents</v>
      </c>
      <c r="V31" s="16" t="str">
        <f>EN_PF_Year3!K55</f>
        <v>Baseline objective = 2     Preliminary score = 1</v>
      </c>
      <c r="W31" s="16">
        <f>EN_PF_Year3!L55</f>
        <v>0</v>
      </c>
      <c r="X31" s="16">
        <f>EN_PF_Year3!M55</f>
        <v>0</v>
      </c>
    </row>
    <row r="32" spans="1:24" ht="15.75" thickBot="1" x14ac:dyDescent="0.3">
      <c r="A32" s="13">
        <v>31</v>
      </c>
      <c r="B32" s="16" t="str">
        <f>EN_PF_Year3!$D$13</f>
        <v>CCM Lao PDR</v>
      </c>
      <c r="C32" s="16" t="str">
        <f>EN_PF_Year3!$D$14</f>
        <v>Yes</v>
      </c>
      <c r="D32" s="16" t="str">
        <f>EN_PF_Year3!$D$15</f>
        <v>Yes</v>
      </c>
      <c r="E32" s="16" t="str">
        <f>EN_PF_Year3!$D$17</f>
        <v>LAO-CFUND-1906</v>
      </c>
      <c r="F32" s="18">
        <f>EN_PF_Year3!$D$18</f>
        <v>43739</v>
      </c>
      <c r="G32" s="18">
        <f>EN_PF_Year3!$D$19</f>
        <v>44926</v>
      </c>
      <c r="H32" s="16" t="str">
        <f>EN_PF_Year3!$D$20</f>
        <v>Year 3</v>
      </c>
      <c r="I32" s="16">
        <f>EN_PF_Year3!$D$21</f>
        <v>0</v>
      </c>
      <c r="J32" s="16">
        <f>EN_PF_Year3!$J$13</f>
        <v>0</v>
      </c>
      <c r="K32" s="19">
        <f>EN_PF_Year3!$J$14</f>
        <v>0</v>
      </c>
      <c r="L32" s="16" t="str">
        <f>EN_PF_Year3!$B$48</f>
        <v>Operations</v>
      </c>
      <c r="M32" s="16" t="str">
        <f>EN_PF_Year3!$C$56</f>
        <v>Coordinating Mechanism’s operations are effectively managed.</v>
      </c>
      <c r="N32" s="16" t="str">
        <f>EN_PF_QualitativeBaseline!$I$31</f>
        <v>3</v>
      </c>
      <c r="O32"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32" s="16">
        <f>EN_PF_QualitativeBaseline!$J$31</f>
        <v>0</v>
      </c>
      <c r="Q32" s="16" t="str">
        <f>EN_PF_Year3!D56</f>
        <v>Does the Coordinating Mechanism perform its core functions?</v>
      </c>
      <c r="R32" s="19" t="str">
        <f>EN_PF_Year3!G56</f>
        <v>Yes: all Assemblies have a quorum, at least 50% of agenda items are on recommendations from technical committees, CM leadership fosters strong interactions between sectors.</v>
      </c>
      <c r="S32" s="16" t="str">
        <f>EN_PF_Year3!H56</f>
        <v>2</v>
      </c>
      <c r="T32" s="16">
        <f>EN_PF_Year3!I56</f>
        <v>0</v>
      </c>
      <c r="U32" s="16" t="str">
        <f>EN_PF_Year3!J56</f>
        <v>Assemblies' agendas
technical committees meeting minutes
Assemblies minutes which highlight discussion of constituency priorities</v>
      </c>
      <c r="V32" s="16" t="str">
        <f>EN_PF_Year3!K56</f>
        <v>Baseline objective = 3     Preliminary score = 2</v>
      </c>
      <c r="W32" s="16">
        <f>EN_PF_Year3!L56</f>
        <v>0</v>
      </c>
      <c r="X32" s="16">
        <f>EN_PF_Year3!M56</f>
        <v>0</v>
      </c>
    </row>
    <row r="33" spans="1:24" ht="15.75" thickBot="1" x14ac:dyDescent="0.3"/>
    <row r="34" spans="1:24" ht="15.75" thickBot="1" x14ac:dyDescent="0.3">
      <c r="A34" s="13">
        <v>1</v>
      </c>
      <c r="B34" s="16" t="str">
        <f>EN_PF_YearY!$D$13</f>
        <v>CCM Lao PDR</v>
      </c>
      <c r="C34" s="16" t="str">
        <f>EN_PF_YearY!$D$14</f>
        <v>Yes</v>
      </c>
      <c r="D34" s="16">
        <f>EN_PF_YearY!$D$15</f>
        <v>0</v>
      </c>
      <c r="E34" s="16">
        <f>EN_PF_YearY!$D$17</f>
        <v>0</v>
      </c>
      <c r="F34" s="18">
        <f>EN_PF_YearY!$D$18</f>
        <v>0</v>
      </c>
      <c r="G34" s="18">
        <f>EN_PF_YearY!$D$19</f>
        <v>0</v>
      </c>
      <c r="H34" s="16">
        <f>EN_PF_YearY!$D$20</f>
        <v>0</v>
      </c>
      <c r="I34" s="16">
        <f>EN_PF_YearY!$D$21</f>
        <v>0</v>
      </c>
      <c r="J34" s="16" t="str">
        <f>EN_PF_YearY!$J$13</f>
        <v/>
      </c>
      <c r="K34" s="16">
        <f>EN_PF_YearY!$J$14</f>
        <v>0</v>
      </c>
      <c r="L34" s="16" t="str">
        <f>EN_PF_YearY!$B$26</f>
        <v>Oversight</v>
      </c>
      <c r="M34" s="16" t="str">
        <f>EN_PF_YearY!$C$26</f>
        <v>Effective Oversight Committee (OC) is in place with membership and plans aligned with the Global Fund (GF) grant priorities and relevant national processes (e.g. national program reviews and national planning).</v>
      </c>
      <c r="N34" s="16" t="str">
        <f>EN_PF_QualitativeBaseline!$I$16</f>
        <v>2</v>
      </c>
      <c r="O34"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34" s="16">
        <f>EN_PF_QualitativeBaseline!$J$16</f>
        <v>0</v>
      </c>
      <c r="Q34" s="16" t="str">
        <f>EN_PF_YearY!D26</f>
        <v>Does your Coordinating Mechanism have an Oversight strategy? (ER 3A)</v>
      </c>
      <c r="R34" s="16">
        <f>EN_PF_YearY!G26</f>
        <v>0</v>
      </c>
      <c r="S34" s="16" t="str">
        <f>EN_PF_YearY!H26</f>
        <v/>
      </c>
      <c r="T34" s="16">
        <f>EN_PF_YearY!I26</f>
        <v>0</v>
      </c>
      <c r="U34" s="16" t="str">
        <f>EN_PF_YearY!J26</f>
        <v/>
      </c>
      <c r="V34" s="16" t="str">
        <f>EN_PF_YearY!K26</f>
        <v/>
      </c>
      <c r="W34" s="16">
        <f>EN_PF_YearY!L26</f>
        <v>0</v>
      </c>
      <c r="X34" s="16" t="str">
        <f>EN_PF_YearY!M26</f>
        <v/>
      </c>
    </row>
    <row r="35" spans="1:24" ht="15.75" thickBot="1" x14ac:dyDescent="0.3">
      <c r="A35" s="13">
        <v>2</v>
      </c>
      <c r="B35" s="16" t="str">
        <f>EN_PF_YearY!$D$13</f>
        <v>CCM Lao PDR</v>
      </c>
      <c r="C35" s="16" t="str">
        <f>EN_PF_YearY!$D$14</f>
        <v>Yes</v>
      </c>
      <c r="D35" s="16">
        <f>EN_PF_YearY!$D$15</f>
        <v>0</v>
      </c>
      <c r="E35" s="16">
        <f>EN_PF_YearY!$D$17</f>
        <v>0</v>
      </c>
      <c r="F35" s="18">
        <f>EN_PF_YearY!$D$18</f>
        <v>0</v>
      </c>
      <c r="G35" s="18">
        <f>EN_PF_YearY!$D$19</f>
        <v>0</v>
      </c>
      <c r="H35" s="16">
        <f>EN_PF_YearY!$D$20</f>
        <v>0</v>
      </c>
      <c r="I35" s="16">
        <f>EN_PF_YearY!$D$21</f>
        <v>0</v>
      </c>
      <c r="J35" s="16" t="str">
        <f>EN_PF_YearY!$J$13</f>
        <v/>
      </c>
      <c r="K35" s="16">
        <f>EN_PF_YearY!$J$14</f>
        <v>0</v>
      </c>
      <c r="L35" s="16" t="str">
        <f>EN_PF_YearY!$B$26</f>
        <v>Oversight</v>
      </c>
      <c r="M35" s="16" t="str">
        <f>EN_PF_YearY!$C$26</f>
        <v>Effective Oversight Committee (OC) is in place with membership and plans aligned with the Global Fund (GF) grant priorities and relevant national processes (e.g. national program reviews and national planning).</v>
      </c>
      <c r="N35" s="16" t="str">
        <f>EN_PF_QualitativeBaseline!$I$16</f>
        <v>2</v>
      </c>
      <c r="O35"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35" s="16">
        <f>EN_PF_QualitativeBaseline!$J$16</f>
        <v>0</v>
      </c>
      <c r="Q35" s="16" t="str">
        <f>EN_PF_YearY!D27</f>
        <v>Does the OC have the following skills: financial management, disease-specific expertise, procurement and supply management, program management? (ER 3B)</v>
      </c>
      <c r="R35" s="16">
        <f>EN_PF_YearY!G27</f>
        <v>0</v>
      </c>
      <c r="S35" s="16" t="str">
        <f>EN_PF_YearY!H27</f>
        <v/>
      </c>
      <c r="T35" s="16">
        <f>EN_PF_YearY!I27</f>
        <v>0</v>
      </c>
      <c r="U35" s="16" t="str">
        <f>EN_PF_YearY!J27</f>
        <v/>
      </c>
      <c r="V35" s="16" t="str">
        <f>EN_PF_YearY!K27</f>
        <v/>
      </c>
      <c r="W35" s="16">
        <f>EN_PF_YearY!L27</f>
        <v>0</v>
      </c>
      <c r="X35" s="16" t="str">
        <f>EN_PF_YearY!M27</f>
        <v/>
      </c>
    </row>
    <row r="36" spans="1:24" ht="15.75" thickBot="1" x14ac:dyDescent="0.3">
      <c r="A36" s="13">
        <v>3</v>
      </c>
      <c r="B36" s="16" t="str">
        <f>EN_PF_YearY!$D$13</f>
        <v>CCM Lao PDR</v>
      </c>
      <c r="C36" s="16" t="str">
        <f>EN_PF_YearY!$D$14</f>
        <v>Yes</v>
      </c>
      <c r="D36" s="16">
        <f>EN_PF_YearY!$D$15</f>
        <v>0</v>
      </c>
      <c r="E36" s="16">
        <f>EN_PF_YearY!$D$17</f>
        <v>0</v>
      </c>
      <c r="F36" s="18">
        <f>EN_PF_YearY!$D$18</f>
        <v>0</v>
      </c>
      <c r="G36" s="18">
        <f>EN_PF_YearY!$D$19</f>
        <v>0</v>
      </c>
      <c r="H36" s="16">
        <f>EN_PF_YearY!$D$20</f>
        <v>0</v>
      </c>
      <c r="I36" s="16">
        <f>EN_PF_YearY!$D$21</f>
        <v>0</v>
      </c>
      <c r="J36" s="16" t="str">
        <f>EN_PF_YearY!$J$13</f>
        <v/>
      </c>
      <c r="K36" s="16">
        <f>EN_PF_YearY!$J$14</f>
        <v>0</v>
      </c>
      <c r="L36" s="16" t="str">
        <f>EN_PF_YearY!$B$26</f>
        <v>Oversight</v>
      </c>
      <c r="M36" s="16" t="str">
        <f>EN_PF_YearY!$C$26</f>
        <v>Effective Oversight Committee (OC) is in place with membership and plans aligned with the Global Fund (GF) grant priorities and relevant national processes (e.g. national program reviews and national planning).</v>
      </c>
      <c r="N36" s="16" t="str">
        <f>EN_PF_QualitativeBaseline!$I$16</f>
        <v>2</v>
      </c>
      <c r="O36"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36" s="16">
        <f>EN_PF_QualitativeBaseline!$J$16</f>
        <v>0</v>
      </c>
      <c r="Q36" s="16" t="str">
        <f>EN_PF_YearY!D28</f>
        <v>Does the OC include Key and vulnerable populations / People living with the disease(s) (KVP/PLWD) representative(s)? (ER 3B)</v>
      </c>
      <c r="R36" s="16">
        <f>EN_PF_YearY!G28</f>
        <v>0</v>
      </c>
      <c r="S36" s="16" t="str">
        <f>EN_PF_YearY!H28</f>
        <v/>
      </c>
      <c r="T36" s="16">
        <f>EN_PF_YearY!I28</f>
        <v>0</v>
      </c>
      <c r="U36" s="16" t="str">
        <f>EN_PF_YearY!J28</f>
        <v/>
      </c>
      <c r="V36" s="16" t="str">
        <f>EN_PF_YearY!K28</f>
        <v/>
      </c>
      <c r="W36" s="16">
        <f>EN_PF_YearY!L28</f>
        <v>0</v>
      </c>
      <c r="X36" s="16" t="str">
        <f>EN_PF_YearY!M28</f>
        <v/>
      </c>
    </row>
    <row r="37" spans="1:24" ht="15.75" thickBot="1" x14ac:dyDescent="0.3">
      <c r="A37" s="13">
        <v>4</v>
      </c>
      <c r="B37" s="16" t="str">
        <f>EN_PF_YearY!$D$13</f>
        <v>CCM Lao PDR</v>
      </c>
      <c r="C37" s="16" t="str">
        <f>EN_PF_YearY!$D$14</f>
        <v>Yes</v>
      </c>
      <c r="D37" s="16">
        <f>EN_PF_YearY!$D$15</f>
        <v>0</v>
      </c>
      <c r="E37" s="16">
        <f>EN_PF_YearY!$D$17</f>
        <v>0</v>
      </c>
      <c r="F37" s="18">
        <f>EN_PF_YearY!$D$18</f>
        <v>0</v>
      </c>
      <c r="G37" s="18">
        <f>EN_PF_YearY!$D$19</f>
        <v>0</v>
      </c>
      <c r="H37" s="16">
        <f>EN_PF_YearY!$D$20</f>
        <v>0</v>
      </c>
      <c r="I37" s="16">
        <f>EN_PF_YearY!$D$21</f>
        <v>0</v>
      </c>
      <c r="J37" s="16" t="str">
        <f>EN_PF_YearY!$J$13</f>
        <v/>
      </c>
      <c r="K37" s="16">
        <f>EN_PF_YearY!$J$14</f>
        <v>0</v>
      </c>
      <c r="L37" s="16" t="str">
        <f>EN_PF_YearY!$B$26</f>
        <v>Oversight</v>
      </c>
      <c r="M37" s="16" t="str">
        <f>EN_PF_YearY!$C$29</f>
        <v>The Oversight Committee (OC) uses strategic information and analysis effectively, supporting evidenced-based decision-making throughout the GF grant-life cycle.</v>
      </c>
      <c r="N37" s="16" t="str">
        <f>EN_PF_QualitativeBaseline!$I$17</f>
        <v>2</v>
      </c>
      <c r="O37"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37" s="16">
        <f>EN_PF_QualitativeBaseline!$J$17</f>
        <v>0</v>
      </c>
      <c r="Q37" s="16" t="str">
        <f>EN_PF_YearY!D29</f>
        <v>Does the OC regularly collect strategic information, including from non-implementers of GF grants through consultations and/or site visits, for data-driven decision-making? These may include community-lead monitoring (CLM) observatories, human rights complaints mechanisms, ...  (ER3C)</v>
      </c>
      <c r="R37" s="16">
        <f>EN_PF_YearY!G29</f>
        <v>0</v>
      </c>
      <c r="S37" s="16" t="str">
        <f>EN_PF_YearY!H29</f>
        <v/>
      </c>
      <c r="T37" s="16">
        <f>EN_PF_YearY!I29</f>
        <v>0</v>
      </c>
      <c r="U37" s="16" t="str">
        <f>EN_PF_YearY!J29</f>
        <v/>
      </c>
      <c r="V37" s="16" t="str">
        <f>EN_PF_YearY!K29</f>
        <v/>
      </c>
      <c r="W37" s="16">
        <f>EN_PF_YearY!L29</f>
        <v>0</v>
      </c>
      <c r="X37" s="16">
        <f>EN_PF_YearY!M29</f>
        <v>0</v>
      </c>
    </row>
    <row r="38" spans="1:24" ht="15.75" thickBot="1" x14ac:dyDescent="0.3">
      <c r="A38" s="13">
        <v>5</v>
      </c>
      <c r="B38" s="16" t="str">
        <f>EN_PF_YearY!$D$13</f>
        <v>CCM Lao PDR</v>
      </c>
      <c r="C38" s="16" t="str">
        <f>EN_PF_YearY!$D$14</f>
        <v>Yes</v>
      </c>
      <c r="D38" s="16">
        <f>EN_PF_YearY!$D$15</f>
        <v>0</v>
      </c>
      <c r="E38" s="16">
        <f>EN_PF_YearY!$D$17</f>
        <v>0</v>
      </c>
      <c r="F38" s="18">
        <f>EN_PF_YearY!$D$18</f>
        <v>0</v>
      </c>
      <c r="G38" s="18">
        <f>EN_PF_YearY!$D$19</f>
        <v>0</v>
      </c>
      <c r="H38" s="16">
        <f>EN_PF_YearY!$D$20</f>
        <v>0</v>
      </c>
      <c r="I38" s="16">
        <f>EN_PF_YearY!$D$21</f>
        <v>0</v>
      </c>
      <c r="J38" s="16" t="str">
        <f>EN_PF_YearY!$J$13</f>
        <v/>
      </c>
      <c r="K38" s="16">
        <f>EN_PF_YearY!$J$14</f>
        <v>0</v>
      </c>
      <c r="L38" s="16" t="str">
        <f>EN_PF_YearY!$B$26</f>
        <v>Oversight</v>
      </c>
      <c r="M38" s="16" t="str">
        <f>EN_PF_YearY!$C$30</f>
        <v>The Coordinating Mechanism works effectively with PRs to identify and mitigate risks, bottlenecks and challenges to grant delivery (adopts risk management approach).</v>
      </c>
      <c r="N38" s="16" t="str">
        <f>EN_PF_QualitativeBaseline!$I$18</f>
        <v>0</v>
      </c>
      <c r="O38"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38" s="16">
        <f>EN_PF_QualitativeBaseline!$J$18</f>
        <v>0</v>
      </c>
      <c r="Q38" s="16" t="str">
        <f>EN_PF_YearY!D30</f>
        <v>Does the OC meet regularly with Principal Recipients (PRs) to collect strategic information and discuss implementation progress, challenges, risks, or the need for program revisions?
(ER 3D)</v>
      </c>
      <c r="R38" s="16">
        <f>EN_PF_YearY!G30</f>
        <v>0</v>
      </c>
      <c r="S38" s="16" t="str">
        <f>EN_PF_YearY!H30</f>
        <v/>
      </c>
      <c r="T38" s="16">
        <f>EN_PF_YearY!I30</f>
        <v>0</v>
      </c>
      <c r="U38" s="16" t="str">
        <f>EN_PF_YearY!J30</f>
        <v/>
      </c>
      <c r="V38" s="16" t="str">
        <f>EN_PF_YearY!K30</f>
        <v/>
      </c>
      <c r="W38" s="16">
        <f>EN_PF_YearY!L30</f>
        <v>0</v>
      </c>
      <c r="X38" s="16">
        <f>EN_PF_YearY!M30</f>
        <v>0</v>
      </c>
    </row>
    <row r="39" spans="1:24" ht="15.75" thickBot="1" x14ac:dyDescent="0.3">
      <c r="A39" s="13">
        <v>6</v>
      </c>
      <c r="B39" s="16" t="str">
        <f>EN_PF_YearY!$D$13</f>
        <v>CCM Lao PDR</v>
      </c>
      <c r="C39" s="16" t="str">
        <f>EN_PF_YearY!$D$14</f>
        <v>Yes</v>
      </c>
      <c r="D39" s="16">
        <f>EN_PF_YearY!$D$15</f>
        <v>0</v>
      </c>
      <c r="E39" s="16">
        <f>EN_PF_YearY!$D$17</f>
        <v>0</v>
      </c>
      <c r="F39" s="18">
        <f>EN_PF_YearY!$D$18</f>
        <v>0</v>
      </c>
      <c r="G39" s="18">
        <f>EN_PF_YearY!$D$19</f>
        <v>0</v>
      </c>
      <c r="H39" s="16">
        <f>EN_PF_YearY!$D$20</f>
        <v>0</v>
      </c>
      <c r="I39" s="16">
        <f>EN_PF_YearY!$D$21</f>
        <v>0</v>
      </c>
      <c r="J39" s="16" t="str">
        <f>EN_PF_YearY!$J$13</f>
        <v/>
      </c>
      <c r="K39" s="16">
        <f>EN_PF_YearY!$J$14</f>
        <v>0</v>
      </c>
      <c r="L39" s="16" t="str">
        <f>EN_PF_YearY!$B$26</f>
        <v>Oversight</v>
      </c>
      <c r="M39" s="16" t="str">
        <f>EN_PF_YearY!$C$30</f>
        <v>The Coordinating Mechanism works effectively with PRs to identify and mitigate risks, bottlenecks and challenges to grant delivery (adopts risk management approach).</v>
      </c>
      <c r="N39" s="16" t="str">
        <f>EN_PF_QualitativeBaseline!$I$18</f>
        <v>0</v>
      </c>
      <c r="O39"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39" s="16">
        <f>EN_PF_QualitativeBaseline!$J$18</f>
        <v>0</v>
      </c>
      <c r="Q39" s="16" t="str">
        <f>EN_PF_YearY!D31</f>
        <v>Does the Coordinating Mechanism (General Assembly - GA) make decisions when problems and challenges are identified? (ER 3E)</v>
      </c>
      <c r="R39" s="16">
        <f>EN_PF_YearY!G31</f>
        <v>0</v>
      </c>
      <c r="S39" s="16" t="str">
        <f>EN_PF_YearY!H31</f>
        <v/>
      </c>
      <c r="T39" s="16">
        <f>EN_PF_YearY!I31</f>
        <v>0</v>
      </c>
      <c r="U39" s="16" t="str">
        <f>EN_PF_YearY!J31</f>
        <v/>
      </c>
      <c r="V39" s="16" t="str">
        <f>EN_PF_YearY!K31</f>
        <v/>
      </c>
      <c r="W39" s="16">
        <f>EN_PF_YearY!L31</f>
        <v>0</v>
      </c>
      <c r="X39" s="16">
        <f>EN_PF_YearY!M31</f>
        <v>0</v>
      </c>
    </row>
    <row r="40" spans="1:24" ht="15.75" thickBot="1" x14ac:dyDescent="0.3">
      <c r="A40" s="13">
        <v>7</v>
      </c>
      <c r="B40" s="16" t="str">
        <f>EN_PF_YearY!$D$13</f>
        <v>CCM Lao PDR</v>
      </c>
      <c r="C40" s="16" t="str">
        <f>EN_PF_YearY!$D$14</f>
        <v>Yes</v>
      </c>
      <c r="D40" s="16">
        <f>EN_PF_YearY!$D$15</f>
        <v>0</v>
      </c>
      <c r="E40" s="16">
        <f>EN_PF_YearY!$D$17</f>
        <v>0</v>
      </c>
      <c r="F40" s="18">
        <f>EN_PF_YearY!$D$18</f>
        <v>0</v>
      </c>
      <c r="G40" s="18">
        <f>EN_PF_YearY!$D$19</f>
        <v>0</v>
      </c>
      <c r="H40" s="16">
        <f>EN_PF_YearY!$D$20</f>
        <v>0</v>
      </c>
      <c r="I40" s="16">
        <f>EN_PF_YearY!$D$21</f>
        <v>0</v>
      </c>
      <c r="J40" s="16" t="str">
        <f>EN_PF_YearY!$J$13</f>
        <v/>
      </c>
      <c r="K40" s="16">
        <f>EN_PF_YearY!$J$14</f>
        <v>0</v>
      </c>
      <c r="L40" s="16" t="str">
        <f>EN_PF_YearY!$B$26</f>
        <v>Oversight</v>
      </c>
      <c r="M40" s="16" t="str">
        <f>EN_PF_YearY!$C$30</f>
        <v>The Coordinating Mechanism works effectively with PRs to identify and mitigate risks, bottlenecks and challenges to grant delivery (adopts risk management approach).</v>
      </c>
      <c r="N40" s="16" t="str">
        <f>EN_PF_QualitativeBaseline!$I$18</f>
        <v>0</v>
      </c>
      <c r="O40"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40" s="16">
        <f>EN_PF_QualitativeBaseline!$J$18</f>
        <v>0</v>
      </c>
      <c r="Q40" s="16" t="str">
        <f>EN_PF_YearY!D32</f>
        <v>Does the Coordinating Mechanism regularly share and follow up on oversight results with the Global Fund and in-country stakeholders? (ER 3F)</v>
      </c>
      <c r="R40" s="16">
        <f>EN_PF_YearY!G32</f>
        <v>0</v>
      </c>
      <c r="S40" s="16" t="str">
        <f>EN_PF_YearY!H32</f>
        <v/>
      </c>
      <c r="T40" s="16">
        <f>EN_PF_YearY!I32</f>
        <v>0</v>
      </c>
      <c r="U40" s="16" t="str">
        <f>EN_PF_YearY!J32</f>
        <v/>
      </c>
      <c r="V40" s="16" t="str">
        <f>EN_PF_YearY!K32</f>
        <v/>
      </c>
      <c r="W40" s="16">
        <f>EN_PF_YearY!L32</f>
        <v>0</v>
      </c>
      <c r="X40" s="16">
        <f>EN_PF_YearY!M32</f>
        <v>0</v>
      </c>
    </row>
    <row r="41" spans="1:24" ht="15.75" thickBot="1" x14ac:dyDescent="0.3">
      <c r="A41" s="13">
        <v>8</v>
      </c>
      <c r="B41" s="16" t="str">
        <f>EN_PF_YearY!$D$13</f>
        <v>CCM Lao PDR</v>
      </c>
      <c r="C41" s="16" t="str">
        <f>EN_PF_YearY!$D$14</f>
        <v>Yes</v>
      </c>
      <c r="D41" s="16">
        <f>EN_PF_YearY!$D$15</f>
        <v>0</v>
      </c>
      <c r="E41" s="16">
        <f>EN_PF_YearY!$D$17</f>
        <v>0</v>
      </c>
      <c r="F41" s="18">
        <f>EN_PF_YearY!$D$18</f>
        <v>0</v>
      </c>
      <c r="G41" s="18">
        <f>EN_PF_YearY!$D$19</f>
        <v>0</v>
      </c>
      <c r="H41" s="16">
        <f>EN_PF_YearY!$D$20</f>
        <v>0</v>
      </c>
      <c r="I41" s="16">
        <f>EN_PF_YearY!$D$21</f>
        <v>0</v>
      </c>
      <c r="J41" s="16" t="str">
        <f>EN_PF_YearY!$J$13</f>
        <v/>
      </c>
      <c r="K41" s="16">
        <f>EN_PF_YearY!$J$14</f>
        <v>0</v>
      </c>
      <c r="L41" s="16" t="str">
        <f>EN_PF_YearY!$B$26</f>
        <v>Oversight</v>
      </c>
      <c r="M41" s="16" t="str">
        <f>EN_PF_YearY!$C$33</f>
        <v>The Coordinating Mechanism supports the realization of co-financing commitments.</v>
      </c>
      <c r="N41" s="16" t="str">
        <f>EN_PF_QualitativeBaseline!$I$19</f>
        <v>2</v>
      </c>
      <c r="O41"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41" s="16">
        <f>EN_PF_QualitativeBaseline!$J$19</f>
        <v>0</v>
      </c>
      <c r="Q41" s="16" t="str">
        <f>EN_PF_YearY!D33</f>
        <v>Does the Coordinating Mechanism discuss co-financing on its meetings and with key stakeholders?</v>
      </c>
      <c r="R41" s="16">
        <f>EN_PF_YearY!G33</f>
        <v>0</v>
      </c>
      <c r="S41" s="16" t="str">
        <f>EN_PF_YearY!H33</f>
        <v/>
      </c>
      <c r="T41" s="16">
        <f>EN_PF_YearY!I33</f>
        <v>0</v>
      </c>
      <c r="U41" s="16" t="str">
        <f>EN_PF_YearY!J33</f>
        <v/>
      </c>
      <c r="V41" s="16" t="str">
        <f>EN_PF_YearY!K33</f>
        <v/>
      </c>
      <c r="W41" s="16">
        <f>EN_PF_YearY!L33</f>
        <v>0</v>
      </c>
      <c r="X41" s="16">
        <f>EN_PF_YearY!M33</f>
        <v>0</v>
      </c>
    </row>
    <row r="42" spans="1:24" ht="15.75" thickBot="1" x14ac:dyDescent="0.3">
      <c r="A42" s="13">
        <v>9</v>
      </c>
      <c r="B42" s="16" t="str">
        <f>EN_PF_YearY!$D$13</f>
        <v>CCM Lao PDR</v>
      </c>
      <c r="C42" s="16" t="str">
        <f>EN_PF_YearY!$D$14</f>
        <v>Yes</v>
      </c>
      <c r="D42" s="16">
        <f>EN_PF_YearY!$D$15</f>
        <v>0</v>
      </c>
      <c r="E42" s="16">
        <f>EN_PF_YearY!$D$17</f>
        <v>0</v>
      </c>
      <c r="F42" s="18">
        <f>EN_PF_YearY!$D$18</f>
        <v>0</v>
      </c>
      <c r="G42" s="18">
        <f>EN_PF_YearY!$D$19</f>
        <v>0</v>
      </c>
      <c r="H42" s="16">
        <f>EN_PF_YearY!$D$20</f>
        <v>0</v>
      </c>
      <c r="I42" s="16">
        <f>EN_PF_YearY!$D$21</f>
        <v>0</v>
      </c>
      <c r="J42" s="16" t="str">
        <f>EN_PF_YearY!$J$13</f>
        <v/>
      </c>
      <c r="K42" s="16">
        <f>EN_PF_YearY!$J$14</f>
        <v>0</v>
      </c>
      <c r="L42" s="16" t="str">
        <f>EN_PF_YearY!$B$34</f>
        <v>Engagement</v>
      </c>
      <c r="M42" s="16" t="str">
        <f>EN_PF_YearY!$C$34</f>
        <v xml:space="preserve">Coordinating Mechanism constituencies selection/election processes abide by principles of good governance (are transparent, ethical and well-documented) and ensure quality engagement. </v>
      </c>
      <c r="N42" s="16" t="str">
        <f>EN_PF_QualitativeBaseline!$I$20</f>
        <v>2</v>
      </c>
      <c r="O42"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2" s="16">
        <f>EN_PF_QualitativeBaseline!$J$20</f>
        <v>0</v>
      </c>
      <c r="Q42" s="16" t="str">
        <f>EN_PF_YearY!D34</f>
        <v>Are key affected and most at risk groups represented in the Coordinating Mechanism? (ER 4G) (ER 4H)</v>
      </c>
      <c r="R42" s="16">
        <f>EN_PF_YearY!G34</f>
        <v>0</v>
      </c>
      <c r="S42" s="16" t="str">
        <f>EN_PF_YearY!H34</f>
        <v/>
      </c>
      <c r="T42" s="16">
        <f>EN_PF_YearY!I34</f>
        <v>0</v>
      </c>
      <c r="U42" s="16" t="str">
        <f>EN_PF_YearY!J34</f>
        <v/>
      </c>
      <c r="V42" s="16" t="str">
        <f>EN_PF_YearY!K34</f>
        <v/>
      </c>
      <c r="W42" s="16">
        <f>EN_PF_YearY!L34</f>
        <v>0</v>
      </c>
      <c r="X42" s="16">
        <f>EN_PF_YearY!M34</f>
        <v>0</v>
      </c>
    </row>
    <row r="43" spans="1:24" ht="15.75" thickBot="1" x14ac:dyDescent="0.3">
      <c r="A43" s="13">
        <v>10</v>
      </c>
      <c r="B43" s="16" t="str">
        <f>EN_PF_YearY!$D$13</f>
        <v>CCM Lao PDR</v>
      </c>
      <c r="C43" s="16" t="str">
        <f>EN_PF_YearY!$D$14</f>
        <v>Yes</v>
      </c>
      <c r="D43" s="16">
        <f>EN_PF_YearY!$D$15</f>
        <v>0</v>
      </c>
      <c r="E43" s="16">
        <f>EN_PF_YearY!$D$17</f>
        <v>0</v>
      </c>
      <c r="F43" s="18">
        <f>EN_PF_YearY!$D$18</f>
        <v>0</v>
      </c>
      <c r="G43" s="18">
        <f>EN_PF_YearY!$D$19</f>
        <v>0</v>
      </c>
      <c r="H43" s="16">
        <f>EN_PF_YearY!$D$20</f>
        <v>0</v>
      </c>
      <c r="I43" s="16">
        <f>EN_PF_YearY!$D$21</f>
        <v>0</v>
      </c>
      <c r="J43" s="16" t="str">
        <f>EN_PF_YearY!$J$13</f>
        <v/>
      </c>
      <c r="K43" s="16">
        <f>EN_PF_YearY!$J$14</f>
        <v>0</v>
      </c>
      <c r="L43" s="16" t="str">
        <f>EN_PF_YearY!$B$34</f>
        <v>Engagement</v>
      </c>
      <c r="M43" s="16" t="str">
        <f>EN_PF_YearY!$C$34</f>
        <v xml:space="preserve">Coordinating Mechanism constituencies selection/election processes abide by principles of good governance (are transparent, ethical and well-documented) and ensure quality engagement. </v>
      </c>
      <c r="N43" s="16" t="str">
        <f>EN_PF_QualitativeBaseline!$I$20</f>
        <v>2</v>
      </c>
      <c r="O43"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3" s="16">
        <f>EN_PF_QualitativeBaseline!$J$20</f>
        <v>0</v>
      </c>
      <c r="Q43" s="16" t="str">
        <f>EN_PF_YearY!D35</f>
        <v>Are the relevant ministries in the fight against the diseases represented in the Coordinating Mechanism, in line with the epidemiological context of the country?</v>
      </c>
      <c r="R43" s="16">
        <f>EN_PF_YearY!G35</f>
        <v>0</v>
      </c>
      <c r="S43" s="16" t="str">
        <f>EN_PF_YearY!H35</f>
        <v/>
      </c>
      <c r="T43" s="16">
        <f>EN_PF_YearY!I35</f>
        <v>0</v>
      </c>
      <c r="U43" s="16" t="str">
        <f>EN_PF_YearY!J35</f>
        <v/>
      </c>
      <c r="V43" s="16" t="str">
        <f>EN_PF_YearY!K35</f>
        <v/>
      </c>
      <c r="W43" s="16">
        <f>EN_PF_YearY!L35</f>
        <v>0</v>
      </c>
      <c r="X43" s="16">
        <f>EN_PF_YearY!M35</f>
        <v>0</v>
      </c>
    </row>
    <row r="44" spans="1:24" ht="15.75" thickBot="1" x14ac:dyDescent="0.3">
      <c r="A44" s="13">
        <v>11</v>
      </c>
      <c r="B44" s="16" t="str">
        <f>EN_PF_YearY!$D$13</f>
        <v>CCM Lao PDR</v>
      </c>
      <c r="C44" s="16" t="str">
        <f>EN_PF_YearY!$D$14</f>
        <v>Yes</v>
      </c>
      <c r="D44" s="16">
        <f>EN_PF_YearY!$D$15</f>
        <v>0</v>
      </c>
      <c r="E44" s="16">
        <f>EN_PF_YearY!$D$17</f>
        <v>0</v>
      </c>
      <c r="F44" s="18">
        <f>EN_PF_YearY!$D$18</f>
        <v>0</v>
      </c>
      <c r="G44" s="18">
        <f>EN_PF_YearY!$D$19</f>
        <v>0</v>
      </c>
      <c r="H44" s="16">
        <f>EN_PF_YearY!$D$20</f>
        <v>0</v>
      </c>
      <c r="I44" s="16">
        <f>EN_PF_YearY!$D$21</f>
        <v>0</v>
      </c>
      <c r="J44" s="16" t="str">
        <f>EN_PF_YearY!$J$13</f>
        <v/>
      </c>
      <c r="K44" s="16">
        <f>EN_PF_YearY!$J$14</f>
        <v>0</v>
      </c>
      <c r="L44" s="16" t="str">
        <f>EN_PF_YearY!$B$34</f>
        <v>Engagement</v>
      </c>
      <c r="M44" s="16" t="str">
        <f>EN_PF_YearY!$C$34</f>
        <v xml:space="preserve">Coordinating Mechanism constituencies selection/election processes abide by principles of good governance (are transparent, ethical and well-documented) and ensure quality engagement. </v>
      </c>
      <c r="N44" s="16" t="str">
        <f>EN_PF_QualitativeBaseline!$I$20</f>
        <v>2</v>
      </c>
      <c r="O44"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4" s="16">
        <f>EN_PF_QualitativeBaseline!$J$20</f>
        <v>0</v>
      </c>
      <c r="Q44" s="16" t="str">
        <f>EN_PF_YearY!D36</f>
        <v>Does the Coordinating Mechanism have balanced gender representation? (ER 4I)</v>
      </c>
      <c r="R44" s="16">
        <f>EN_PF_YearY!G36</f>
        <v>0</v>
      </c>
      <c r="S44" s="16" t="str">
        <f>EN_PF_YearY!H36</f>
        <v/>
      </c>
      <c r="T44" s="16">
        <f>EN_PF_YearY!I36</f>
        <v>0</v>
      </c>
      <c r="U44" s="16" t="str">
        <f>EN_PF_YearY!J36</f>
        <v/>
      </c>
      <c r="V44" s="16" t="str">
        <f>EN_PF_YearY!K36</f>
        <v/>
      </c>
      <c r="W44" s="16">
        <f>EN_PF_YearY!L36</f>
        <v>0</v>
      </c>
      <c r="X44" s="16">
        <f>EN_PF_YearY!M36</f>
        <v>0</v>
      </c>
    </row>
    <row r="45" spans="1:24" ht="15.75" thickBot="1" x14ac:dyDescent="0.3">
      <c r="A45" s="13">
        <v>12</v>
      </c>
      <c r="B45" s="16" t="str">
        <f>EN_PF_YearY!$D$13</f>
        <v>CCM Lao PDR</v>
      </c>
      <c r="C45" s="16" t="str">
        <f>EN_PF_YearY!$D$14</f>
        <v>Yes</v>
      </c>
      <c r="D45" s="16">
        <f>EN_PF_YearY!$D$15</f>
        <v>0</v>
      </c>
      <c r="E45" s="16">
        <f>EN_PF_YearY!$D$17</f>
        <v>0</v>
      </c>
      <c r="F45" s="18">
        <f>EN_PF_YearY!$D$18</f>
        <v>0</v>
      </c>
      <c r="G45" s="18">
        <f>EN_PF_YearY!$D$19</f>
        <v>0</v>
      </c>
      <c r="H45" s="16">
        <f>EN_PF_YearY!$D$20</f>
        <v>0</v>
      </c>
      <c r="I45" s="16">
        <f>EN_PF_YearY!$D$21</f>
        <v>0</v>
      </c>
      <c r="J45" s="16" t="str">
        <f>EN_PF_YearY!$J$13</f>
        <v/>
      </c>
      <c r="K45" s="16">
        <f>EN_PF_YearY!$J$14</f>
        <v>0</v>
      </c>
      <c r="L45" s="16" t="str">
        <f>EN_PF_YearY!$B$34</f>
        <v>Engagement</v>
      </c>
      <c r="M45" s="16" t="str">
        <f>EN_PF_YearY!$C$34</f>
        <v xml:space="preserve">Coordinating Mechanism constituencies selection/election processes abide by principles of good governance (are transparent, ethical and well-documented) and ensure quality engagement. </v>
      </c>
      <c r="N45" s="16" t="str">
        <f>EN_PF_QualitativeBaseline!$I$20</f>
        <v>2</v>
      </c>
      <c r="O45"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5" s="16">
        <f>EN_PF_QualitativeBaseline!$J$20</f>
        <v>0</v>
      </c>
      <c r="Q45" s="16" t="str">
        <f>EN_PF_YearY!D37</f>
        <v>Are the elections of Coordinating Mechanism members representing civil society constituencies well-documented? (ER 5J)</v>
      </c>
      <c r="R45" s="16">
        <f>EN_PF_YearY!G37</f>
        <v>0</v>
      </c>
      <c r="S45" s="16" t="str">
        <f>EN_PF_YearY!H37</f>
        <v/>
      </c>
      <c r="T45" s="16">
        <f>EN_PF_YearY!I37</f>
        <v>0</v>
      </c>
      <c r="U45" s="16" t="str">
        <f>EN_PF_YearY!J37</f>
        <v/>
      </c>
      <c r="V45" s="16" t="str">
        <f>EN_PF_YearY!K37</f>
        <v/>
      </c>
      <c r="W45" s="16">
        <f>EN_PF_YearY!L37</f>
        <v>0</v>
      </c>
      <c r="X45" s="16">
        <f>EN_PF_YearY!M37</f>
        <v>0</v>
      </c>
    </row>
    <row r="46" spans="1:24" ht="15.75" thickBot="1" x14ac:dyDescent="0.3">
      <c r="A46" s="13">
        <v>13</v>
      </c>
      <c r="B46" s="16" t="str">
        <f>EN_PF_YearY!$D$13</f>
        <v>CCM Lao PDR</v>
      </c>
      <c r="C46" s="16" t="str">
        <f>EN_PF_YearY!$D$14</f>
        <v>Yes</v>
      </c>
      <c r="D46" s="16">
        <f>EN_PF_YearY!$D$15</f>
        <v>0</v>
      </c>
      <c r="E46" s="16">
        <f>EN_PF_YearY!$D$17</f>
        <v>0</v>
      </c>
      <c r="F46" s="18">
        <f>EN_PF_YearY!$D$18</f>
        <v>0</v>
      </c>
      <c r="G46" s="18">
        <f>EN_PF_YearY!$D$19</f>
        <v>0</v>
      </c>
      <c r="H46" s="16">
        <f>EN_PF_YearY!$D$20</f>
        <v>0</v>
      </c>
      <c r="I46" s="16">
        <f>EN_PF_YearY!$D$21</f>
        <v>0</v>
      </c>
      <c r="J46" s="16" t="str">
        <f>EN_PF_YearY!$J$13</f>
        <v/>
      </c>
      <c r="K46" s="16">
        <f>EN_PF_YearY!$J$14</f>
        <v>0</v>
      </c>
      <c r="L46" s="16" t="str">
        <f>EN_PF_YearY!$B$34</f>
        <v>Engagement</v>
      </c>
      <c r="M46" s="16" t="str">
        <f>EN_PF_YearY!$C$34</f>
        <v xml:space="preserve">Coordinating Mechanism constituencies selection/election processes abide by principles of good governance (are transparent, ethical and well-documented) and ensure quality engagement. </v>
      </c>
      <c r="N46" s="16" t="str">
        <f>EN_PF_QualitativeBaseline!$I$20</f>
        <v>2</v>
      </c>
      <c r="O46"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6" s="16">
        <f>EN_PF_QualitativeBaseline!$J$20</f>
        <v>0</v>
      </c>
      <c r="Q46" s="16" t="str">
        <f>EN_PF_YearY!D38</f>
        <v>Does the Coordinating Mechanism elect Chair and Vice Chair(s) from different sectors and also follow good governance principles of periodic change and rotation of leadership? (ER 5M)</v>
      </c>
      <c r="R46" s="16">
        <f>EN_PF_YearY!G38</f>
        <v>0</v>
      </c>
      <c r="S46" s="16" t="str">
        <f>EN_PF_YearY!H38</f>
        <v/>
      </c>
      <c r="T46" s="16">
        <f>EN_PF_YearY!I38</f>
        <v>0</v>
      </c>
      <c r="U46" s="16" t="str">
        <f>EN_PF_YearY!J38</f>
        <v/>
      </c>
      <c r="V46" s="16" t="str">
        <f>EN_PF_YearY!K38</f>
        <v/>
      </c>
      <c r="W46" s="16">
        <f>EN_PF_YearY!L38</f>
        <v>0</v>
      </c>
      <c r="X46" s="16">
        <f>EN_PF_YearY!M38</f>
        <v>0</v>
      </c>
    </row>
    <row r="47" spans="1:24" ht="15.75" thickBot="1" x14ac:dyDescent="0.3">
      <c r="A47" s="13">
        <v>14</v>
      </c>
      <c r="B47" s="16" t="str">
        <f>EN_PF_YearY!$D$13</f>
        <v>CCM Lao PDR</v>
      </c>
      <c r="C47" s="16" t="str">
        <f>EN_PF_YearY!$D$14</f>
        <v>Yes</v>
      </c>
      <c r="D47" s="16">
        <f>EN_PF_YearY!$D$15</f>
        <v>0</v>
      </c>
      <c r="E47" s="16">
        <f>EN_PF_YearY!$D$17</f>
        <v>0</v>
      </c>
      <c r="F47" s="18">
        <f>EN_PF_YearY!$D$18</f>
        <v>0</v>
      </c>
      <c r="G47" s="18">
        <f>EN_PF_YearY!$D$19</f>
        <v>0</v>
      </c>
      <c r="H47" s="16">
        <f>EN_PF_YearY!$D$20</f>
        <v>0</v>
      </c>
      <c r="I47" s="16">
        <f>EN_PF_YearY!$D$21</f>
        <v>0</v>
      </c>
      <c r="J47" s="16" t="str">
        <f>EN_PF_YearY!$J$13</f>
        <v/>
      </c>
      <c r="K47" s="16">
        <f>EN_PF_YearY!$J$14</f>
        <v>0</v>
      </c>
      <c r="L47" s="16" t="str">
        <f>EN_PF_YearY!$B$34</f>
        <v>Engagement</v>
      </c>
      <c r="M47" s="16" t="str">
        <f>EN_PF_YearY!$C$39</f>
        <v>Coordinating Mechanism constituencies actively engage and input into GF processes.</v>
      </c>
      <c r="N47" s="16" t="str">
        <f>EN_PF_QualitativeBaseline!$I$21</f>
        <v>2</v>
      </c>
      <c r="O47"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7" s="16">
        <f>EN_PF_QualitativeBaseline!$J$21</f>
        <v>0</v>
      </c>
      <c r="Q47" s="16" t="str">
        <f>EN_PF_YearY!D39</f>
        <v>Does the non-state sector (Private Sector / Civil Society / Academia) account for at least 40% of the Coordinating Mechanism seats? (ER 5K)</v>
      </c>
      <c r="R47" s="16">
        <f>EN_PF_YearY!G39</f>
        <v>0</v>
      </c>
      <c r="S47" s="16" t="str">
        <f>EN_PF_YearY!H39</f>
        <v/>
      </c>
      <c r="T47" s="16">
        <f>EN_PF_YearY!I39</f>
        <v>0</v>
      </c>
      <c r="U47" s="16" t="str">
        <f>EN_PF_YearY!J39</f>
        <v/>
      </c>
      <c r="V47" s="16" t="str">
        <f>EN_PF_YearY!K39</f>
        <v/>
      </c>
      <c r="W47" s="16">
        <f>EN_PF_YearY!L39</f>
        <v>0</v>
      </c>
      <c r="X47" s="16">
        <f>EN_PF_YearY!M39</f>
        <v>0</v>
      </c>
    </row>
    <row r="48" spans="1:24" ht="15.75" thickBot="1" x14ac:dyDescent="0.3">
      <c r="A48" s="13">
        <v>15</v>
      </c>
      <c r="B48" s="16" t="str">
        <f>EN_PF_YearY!$D$13</f>
        <v>CCM Lao PDR</v>
      </c>
      <c r="C48" s="16" t="str">
        <f>EN_PF_YearY!$D$14</f>
        <v>Yes</v>
      </c>
      <c r="D48" s="16">
        <f>EN_PF_YearY!$D$15</f>
        <v>0</v>
      </c>
      <c r="E48" s="16">
        <f>EN_PF_YearY!$D$17</f>
        <v>0</v>
      </c>
      <c r="F48" s="18">
        <f>EN_PF_YearY!$D$18</f>
        <v>0</v>
      </c>
      <c r="G48" s="18">
        <f>EN_PF_YearY!$D$19</f>
        <v>0</v>
      </c>
      <c r="H48" s="16">
        <f>EN_PF_YearY!$D$20</f>
        <v>0</v>
      </c>
      <c r="I48" s="16">
        <f>EN_PF_YearY!$D$21</f>
        <v>0</v>
      </c>
      <c r="J48" s="16" t="str">
        <f>EN_PF_YearY!$J$13</f>
        <v/>
      </c>
      <c r="K48" s="16">
        <f>EN_PF_YearY!$J$14</f>
        <v>0</v>
      </c>
      <c r="L48" s="16" t="str">
        <f>EN_PF_YearY!$B$34</f>
        <v>Engagement</v>
      </c>
      <c r="M48" s="16" t="str">
        <f>EN_PF_YearY!$C$39</f>
        <v>Coordinating Mechanism constituencies actively engage and input into GF processes.</v>
      </c>
      <c r="N48" s="16" t="str">
        <f>EN_PF_QualitativeBaseline!$I$21</f>
        <v>2</v>
      </c>
      <c r="O48"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8" s="16">
        <f>EN_PF_QualitativeBaseline!$J$21</f>
        <v>0</v>
      </c>
      <c r="Q48" s="16" t="str">
        <f>EN_PF_YearY!D40</f>
        <v>Are non-state members actively engaged in all key committees (oversight, executive, ethics)?</v>
      </c>
      <c r="R48" s="16">
        <f>EN_PF_YearY!G40</f>
        <v>0</v>
      </c>
      <c r="S48" s="16" t="str">
        <f>EN_PF_YearY!H40</f>
        <v/>
      </c>
      <c r="T48" s="16">
        <f>EN_PF_YearY!I40</f>
        <v>0</v>
      </c>
      <c r="U48" s="16" t="str">
        <f>EN_PF_YearY!J40</f>
        <v/>
      </c>
      <c r="V48" s="16" t="str">
        <f>EN_PF_YearY!K40</f>
        <v/>
      </c>
      <c r="W48" s="16">
        <f>EN_PF_YearY!L40</f>
        <v>0</v>
      </c>
      <c r="X48" s="16">
        <f>EN_PF_YearY!M40</f>
        <v>0</v>
      </c>
    </row>
    <row r="49" spans="1:24" ht="15.75" thickBot="1" x14ac:dyDescent="0.3">
      <c r="A49" s="13">
        <v>16</v>
      </c>
      <c r="B49" s="16" t="str">
        <f>EN_PF_YearY!$D$13</f>
        <v>CCM Lao PDR</v>
      </c>
      <c r="C49" s="16" t="str">
        <f>EN_PF_YearY!$D$14</f>
        <v>Yes</v>
      </c>
      <c r="D49" s="16">
        <f>EN_PF_YearY!$D$15</f>
        <v>0</v>
      </c>
      <c r="E49" s="16">
        <f>EN_PF_YearY!$D$17</f>
        <v>0</v>
      </c>
      <c r="F49" s="18">
        <f>EN_PF_YearY!$D$18</f>
        <v>0</v>
      </c>
      <c r="G49" s="18">
        <f>EN_PF_YearY!$D$19</f>
        <v>0</v>
      </c>
      <c r="H49" s="16">
        <f>EN_PF_YearY!$D$20</f>
        <v>0</v>
      </c>
      <c r="I49" s="16">
        <f>EN_PF_YearY!$D$21</f>
        <v>0</v>
      </c>
      <c r="J49" s="16" t="str">
        <f>EN_PF_YearY!$J$13</f>
        <v/>
      </c>
      <c r="K49" s="16">
        <f>EN_PF_YearY!$J$14</f>
        <v>0</v>
      </c>
      <c r="L49" s="16" t="str">
        <f>EN_PF_YearY!$B$34</f>
        <v>Engagement</v>
      </c>
      <c r="M49" s="16" t="str">
        <f>EN_PF_YearY!$C$41</f>
        <v>Coordinating Mechanism members (particularly CS members) carry out activities to solicit inputs from and provide feedback within their constituencies to contribute to sound decisions.</v>
      </c>
      <c r="N49" s="16" t="str">
        <f>EN_PF_QualitativeBaseline!$I$22</f>
        <v>2</v>
      </c>
      <c r="O49"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49" s="16">
        <f>EN_PF_QualitativeBaseline!$J$22</f>
        <v>0</v>
      </c>
      <c r="Q49" s="16" t="str">
        <f>EN_PF_YearY!D41</f>
        <v>Do Coordinating Mechanism members actively seek inputs from and provide feedback to their constituencies (particularly CS members, on barriers to access quality services)? (ER 5L)</v>
      </c>
      <c r="R49" s="16">
        <f>EN_PF_YearY!G41</f>
        <v>0</v>
      </c>
      <c r="S49" s="16" t="str">
        <f>EN_PF_YearY!H41</f>
        <v/>
      </c>
      <c r="T49" s="16">
        <f>EN_PF_YearY!I41</f>
        <v>0</v>
      </c>
      <c r="U49" s="16" t="str">
        <f>EN_PF_YearY!J41</f>
        <v/>
      </c>
      <c r="V49" s="16" t="str">
        <f>EN_PF_YearY!K41</f>
        <v/>
      </c>
      <c r="W49" s="16">
        <f>EN_PF_YearY!L41</f>
        <v>0</v>
      </c>
      <c r="X49" s="16">
        <f>EN_PF_YearY!M41</f>
        <v>0</v>
      </c>
    </row>
    <row r="50" spans="1:24" ht="15.75" thickBot="1" x14ac:dyDescent="0.3">
      <c r="A50" s="13">
        <v>17</v>
      </c>
      <c r="B50" s="16" t="str">
        <f>EN_PF_YearY!$D$13</f>
        <v>CCM Lao PDR</v>
      </c>
      <c r="C50" s="16" t="str">
        <f>EN_PF_YearY!$D$14</f>
        <v>Yes</v>
      </c>
      <c r="D50" s="16">
        <f>EN_PF_YearY!$D$15</f>
        <v>0</v>
      </c>
      <c r="E50" s="16">
        <f>EN_PF_YearY!$D$17</f>
        <v>0</v>
      </c>
      <c r="F50" s="18">
        <f>EN_PF_YearY!$D$18</f>
        <v>0</v>
      </c>
      <c r="G50" s="18">
        <f>EN_PF_YearY!$D$19</f>
        <v>0</v>
      </c>
      <c r="H50" s="16">
        <f>EN_PF_YearY!$D$20</f>
        <v>0</v>
      </c>
      <c r="I50" s="16">
        <f>EN_PF_YearY!$D$21</f>
        <v>0</v>
      </c>
      <c r="J50" s="16" t="str">
        <f>EN_PF_YearY!$J$13</f>
        <v/>
      </c>
      <c r="K50" s="16">
        <f>EN_PF_YearY!$J$14</f>
        <v>0</v>
      </c>
      <c r="L50" s="16" t="str">
        <f>EN_PF_YearY!$B$34</f>
        <v>Engagement</v>
      </c>
      <c r="M50" s="16" t="str">
        <f>EN_PF_YearY!$C$42</f>
        <v>Coordinating Mechanism representatives (particularly Civil Society members) engage in country processes on national response (e.g., National Strategic Planning, Program Reviews and Prioritization, Development Partner’s Country Operational Planning).</v>
      </c>
      <c r="N50" s="16" t="str">
        <f>EN_PF_QualitativeBaseline!$I$23</f>
        <v>0</v>
      </c>
      <c r="O50"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50" s="16">
        <f>EN_PF_QualitativeBaseline!$J$23</f>
        <v>0</v>
      </c>
      <c r="Q50" s="16" t="str">
        <f>EN_PF_YearY!D42</f>
        <v>Does the Coordinating Mechanism contribute to the development of the National Strategic Plan, including community-system strengthening?</v>
      </c>
      <c r="R50" s="16">
        <f>EN_PF_YearY!G42</f>
        <v>0</v>
      </c>
      <c r="S50" s="16" t="str">
        <f>EN_PF_YearY!H42</f>
        <v/>
      </c>
      <c r="T50" s="16">
        <f>EN_PF_YearY!I42</f>
        <v>0</v>
      </c>
      <c r="U50" s="16" t="str">
        <f>EN_PF_YearY!J42</f>
        <v/>
      </c>
      <c r="V50" s="16" t="str">
        <f>EN_PF_YearY!K42</f>
        <v/>
      </c>
      <c r="W50" s="16">
        <f>EN_PF_YearY!L42</f>
        <v>0</v>
      </c>
      <c r="X50" s="16">
        <f>EN_PF_YearY!M42</f>
        <v>0</v>
      </c>
    </row>
    <row r="51" spans="1:24" ht="15.75" thickBot="1" x14ac:dyDescent="0.3">
      <c r="A51" s="13">
        <v>18</v>
      </c>
      <c r="B51" s="16" t="str">
        <f>EN_PF_YearY!$D$13</f>
        <v>CCM Lao PDR</v>
      </c>
      <c r="C51" s="16" t="str">
        <f>EN_PF_YearY!$D$14</f>
        <v>Yes</v>
      </c>
      <c r="D51" s="16">
        <f>EN_PF_YearY!$D$15</f>
        <v>0</v>
      </c>
      <c r="E51" s="16">
        <f>EN_PF_YearY!$D$17</f>
        <v>0</v>
      </c>
      <c r="F51" s="18">
        <f>EN_PF_YearY!$D$18</f>
        <v>0</v>
      </c>
      <c r="G51" s="18">
        <f>EN_PF_YearY!$D$19</f>
        <v>0</v>
      </c>
      <c r="H51" s="16">
        <f>EN_PF_YearY!$D$20</f>
        <v>0</v>
      </c>
      <c r="I51" s="16">
        <f>EN_PF_YearY!$D$21</f>
        <v>0</v>
      </c>
      <c r="J51" s="16" t="str">
        <f>EN_PF_YearY!$J$13</f>
        <v/>
      </c>
      <c r="K51" s="16">
        <f>EN_PF_YearY!$J$14</f>
        <v>0</v>
      </c>
      <c r="L51" s="16" t="str">
        <f>EN_PF_YearY!$B$43</f>
        <v>Positioning</v>
      </c>
      <c r="M51" s="16" t="str">
        <f>EN_PF_YearY!$C$43</f>
        <v>The Coordinating Mechanism proactively defines a “strategic positioning” vision to ensure alignment with and/or integration into national structures/coordinating bodies and formal links with donor partner platforms.</v>
      </c>
      <c r="N51" s="16" t="str">
        <f>EN_PF_QualitativeBaseline!$I$24</f>
        <v>1</v>
      </c>
      <c r="O51"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51" s="16">
        <f>EN_PF_QualitativeBaseline!$J$24</f>
        <v>0</v>
      </c>
      <c r="Q51" s="16" t="str">
        <f>EN_PF_YearY!D43</f>
        <v>Does the Coordinating Mechanism know the health governance landscape they operate in?</v>
      </c>
      <c r="R51" s="16">
        <f>EN_PF_YearY!G43</f>
        <v>0</v>
      </c>
      <c r="S51" s="16" t="str">
        <f>EN_PF_YearY!H43</f>
        <v/>
      </c>
      <c r="T51" s="16">
        <f>EN_PF_YearY!I43</f>
        <v>0</v>
      </c>
      <c r="U51" s="16" t="str">
        <f>EN_PF_YearY!J43</f>
        <v/>
      </c>
      <c r="V51" s="16" t="str">
        <f>EN_PF_YearY!K43</f>
        <v/>
      </c>
      <c r="W51" s="16">
        <f>EN_PF_YearY!L43</f>
        <v>0</v>
      </c>
      <c r="X51" s="16">
        <f>EN_PF_YearY!M43</f>
        <v>0</v>
      </c>
    </row>
    <row r="52" spans="1:24" ht="15.75" thickBot="1" x14ac:dyDescent="0.3">
      <c r="A52" s="13">
        <v>19</v>
      </c>
      <c r="B52" s="16" t="str">
        <f>EN_PF_YearY!$D$13</f>
        <v>CCM Lao PDR</v>
      </c>
      <c r="C52" s="16" t="str">
        <f>EN_PF_YearY!$D$14</f>
        <v>Yes</v>
      </c>
      <c r="D52" s="16">
        <f>EN_PF_YearY!$D$15</f>
        <v>0</v>
      </c>
      <c r="E52" s="16">
        <f>EN_PF_YearY!$D$17</f>
        <v>0</v>
      </c>
      <c r="F52" s="18">
        <f>EN_PF_YearY!$D$18</f>
        <v>0</v>
      </c>
      <c r="G52" s="18">
        <f>EN_PF_YearY!$D$19</f>
        <v>0</v>
      </c>
      <c r="H52" s="16">
        <f>EN_PF_YearY!$D$20</f>
        <v>0</v>
      </c>
      <c r="I52" s="16">
        <f>EN_PF_YearY!$D$21</f>
        <v>0</v>
      </c>
      <c r="J52" s="16" t="str">
        <f>EN_PF_YearY!$J$13</f>
        <v/>
      </c>
      <c r="K52" s="16">
        <f>EN_PF_YearY!$J$14</f>
        <v>0</v>
      </c>
      <c r="L52" s="16" t="str">
        <f>EN_PF_YearY!$B$43</f>
        <v>Positioning</v>
      </c>
      <c r="M52" s="16" t="str">
        <f>EN_PF_YearY!$C$43</f>
        <v>The Coordinating Mechanism proactively defines a “strategic positioning” vision to ensure alignment with and/or integration into national structures/coordinating bodies and formal links with donor partner platforms.</v>
      </c>
      <c r="N52" s="16" t="str">
        <f>EN_PF_QualitativeBaseline!$I$24</f>
        <v>1</v>
      </c>
      <c r="O52"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52" s="16">
        <f>EN_PF_QualitativeBaseline!$J$24</f>
        <v>0</v>
      </c>
      <c r="Q52" s="16" t="str">
        <f>EN_PF_YearY!D44</f>
        <v>Does the Coordinating Mechanism have a Positioning plan?</v>
      </c>
      <c r="R52" s="16">
        <f>EN_PF_YearY!G44</f>
        <v>0</v>
      </c>
      <c r="S52" s="16" t="str">
        <f>EN_PF_YearY!H44</f>
        <v/>
      </c>
      <c r="T52" s="16">
        <f>EN_PF_YearY!I44</f>
        <v>0</v>
      </c>
      <c r="U52" s="16" t="str">
        <f>EN_PF_YearY!J44</f>
        <v/>
      </c>
      <c r="V52" s="16" t="str">
        <f>EN_PF_YearY!K44</f>
        <v/>
      </c>
      <c r="W52" s="16">
        <f>EN_PF_YearY!L44</f>
        <v>0</v>
      </c>
      <c r="X52" s="16">
        <f>EN_PF_YearY!M44</f>
        <v>0</v>
      </c>
    </row>
    <row r="53" spans="1:24" ht="15.75" thickBot="1" x14ac:dyDescent="0.3">
      <c r="A53" s="13">
        <v>20</v>
      </c>
      <c r="B53" s="16" t="str">
        <f>EN_PF_YearY!$D$13</f>
        <v>CCM Lao PDR</v>
      </c>
      <c r="C53" s="16" t="str">
        <f>EN_PF_YearY!$D$14</f>
        <v>Yes</v>
      </c>
      <c r="D53" s="16">
        <f>EN_PF_YearY!$D$15</f>
        <v>0</v>
      </c>
      <c r="E53" s="16">
        <f>EN_PF_YearY!$D$17</f>
        <v>0</v>
      </c>
      <c r="F53" s="18">
        <f>EN_PF_YearY!$D$18</f>
        <v>0</v>
      </c>
      <c r="G53" s="18">
        <f>EN_PF_YearY!$D$19</f>
        <v>0</v>
      </c>
      <c r="H53" s="16">
        <f>EN_PF_YearY!$D$20</f>
        <v>0</v>
      </c>
      <c r="I53" s="16">
        <f>EN_PF_YearY!$D$21</f>
        <v>0</v>
      </c>
      <c r="J53" s="16" t="str">
        <f>EN_PF_YearY!$J$13</f>
        <v/>
      </c>
      <c r="K53" s="16">
        <f>EN_PF_YearY!$J$14</f>
        <v>0</v>
      </c>
      <c r="L53" s="16" t="str">
        <f>EN_PF_YearY!$B$43</f>
        <v>Positioning</v>
      </c>
      <c r="M53" s="16" t="str">
        <f>EN_PF_YearY!$C$45</f>
        <v>The Coordinating Mechanism ensures buy-in and ownership of the vision by all relevant stakeholders (particularly national government).</v>
      </c>
      <c r="N53" s="16" t="str">
        <f>EN_PF_QualitativeBaseline!$I$25</f>
        <v>1</v>
      </c>
      <c r="O53"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53" s="16">
        <f>EN_PF_QualitativeBaseline!$J$25</f>
        <v>0</v>
      </c>
      <c r="Q53" s="16" t="str">
        <f>EN_PF_YearY!D45</f>
        <v>How strong are linkages between the Coordinating Mechanism and other health governance platforms?</v>
      </c>
      <c r="R53" s="16">
        <f>EN_PF_YearY!G45</f>
        <v>0</v>
      </c>
      <c r="S53" s="16" t="str">
        <f>EN_PF_YearY!H45</f>
        <v/>
      </c>
      <c r="T53" s="16">
        <f>EN_PF_YearY!I45</f>
        <v>0</v>
      </c>
      <c r="U53" s="16" t="str">
        <f>EN_PF_YearY!J45</f>
        <v/>
      </c>
      <c r="V53" s="16" t="str">
        <f>EN_PF_YearY!K45</f>
        <v/>
      </c>
      <c r="W53" s="16">
        <f>EN_PF_YearY!L45</f>
        <v>0</v>
      </c>
      <c r="X53" s="16">
        <f>EN_PF_YearY!M45</f>
        <v>0</v>
      </c>
    </row>
    <row r="54" spans="1:24" ht="15.75" thickBot="1" x14ac:dyDescent="0.3">
      <c r="A54" s="13">
        <v>21</v>
      </c>
      <c r="B54" s="16" t="str">
        <f>EN_PF_YearY!$D$13</f>
        <v>CCM Lao PDR</v>
      </c>
      <c r="C54" s="16" t="str">
        <f>EN_PF_YearY!$D$14</f>
        <v>Yes</v>
      </c>
      <c r="D54" s="16">
        <f>EN_PF_YearY!$D$15</f>
        <v>0</v>
      </c>
      <c r="E54" s="16">
        <f>EN_PF_YearY!$D$17</f>
        <v>0</v>
      </c>
      <c r="F54" s="18">
        <f>EN_PF_YearY!$D$18</f>
        <v>0</v>
      </c>
      <c r="G54" s="18">
        <f>EN_PF_YearY!$D$19</f>
        <v>0</v>
      </c>
      <c r="H54" s="16">
        <f>EN_PF_YearY!$D$20</f>
        <v>0</v>
      </c>
      <c r="I54" s="16">
        <f>EN_PF_YearY!$D$21</f>
        <v>0</v>
      </c>
      <c r="J54" s="16" t="str">
        <f>EN_PF_YearY!$J$13</f>
        <v/>
      </c>
      <c r="K54" s="16">
        <f>EN_PF_YearY!$J$14</f>
        <v>0</v>
      </c>
      <c r="L54" s="16" t="str">
        <f>EN_PF_YearY!$B$43</f>
        <v>Positioning</v>
      </c>
      <c r="M54" s="16" t="str">
        <f>EN_PF_YearY!$C$46</f>
        <v>The Coordinating Mechanism aligns its functions and structures with the national response for enhanced harmonization of systems, processes and decision-making for greater impact and efficiencies.</v>
      </c>
      <c r="N54" s="16" t="str">
        <f>EN_PF_QualitativeBaseline!$I$26</f>
        <v>2</v>
      </c>
      <c r="O54"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54" s="16">
        <f>EN_PF_QualitativeBaseline!$J$26</f>
        <v>0</v>
      </c>
      <c r="Q54" s="16" t="str">
        <f>EN_PF_YearY!D46</f>
        <v>How well is the Coordinating Mechanism integrated with the health governance of the country / region?</v>
      </c>
      <c r="R54" s="16">
        <f>EN_PF_YearY!G46</f>
        <v>0</v>
      </c>
      <c r="S54" s="16" t="str">
        <f>EN_PF_YearY!H46</f>
        <v/>
      </c>
      <c r="T54" s="16">
        <f>EN_PF_YearY!I46</f>
        <v>0</v>
      </c>
      <c r="U54" s="16" t="str">
        <f>EN_PF_YearY!J46</f>
        <v/>
      </c>
      <c r="V54" s="16" t="str">
        <f>EN_PF_YearY!K46</f>
        <v/>
      </c>
      <c r="W54" s="16">
        <f>EN_PF_YearY!L46</f>
        <v>0</v>
      </c>
      <c r="X54" s="16">
        <f>EN_PF_YearY!M46</f>
        <v>0</v>
      </c>
    </row>
    <row r="55" spans="1:24" ht="15.75" thickBot="1" x14ac:dyDescent="0.3">
      <c r="A55" s="13">
        <v>22</v>
      </c>
      <c r="B55" s="16" t="str">
        <f>EN_PF_YearY!$D$13</f>
        <v>CCM Lao PDR</v>
      </c>
      <c r="C55" s="16" t="str">
        <f>EN_PF_YearY!$D$14</f>
        <v>Yes</v>
      </c>
      <c r="D55" s="16">
        <f>EN_PF_YearY!$D$15</f>
        <v>0</v>
      </c>
      <c r="E55" s="16">
        <f>EN_PF_YearY!$D$17</f>
        <v>0</v>
      </c>
      <c r="F55" s="18">
        <f>EN_PF_YearY!$D$18</f>
        <v>0</v>
      </c>
      <c r="G55" s="18">
        <f>EN_PF_YearY!$D$19</f>
        <v>0</v>
      </c>
      <c r="H55" s="16">
        <f>EN_PF_YearY!$D$20</f>
        <v>0</v>
      </c>
      <c r="I55" s="16">
        <f>EN_PF_YearY!$D$21</f>
        <v>0</v>
      </c>
      <c r="J55" s="16" t="str">
        <f>EN_PF_YearY!$J$13</f>
        <v/>
      </c>
      <c r="K55" s="16">
        <f>EN_PF_YearY!$J$14</f>
        <v>0</v>
      </c>
      <c r="L55" s="16" t="str">
        <f>EN_PF_YearY!$B$43</f>
        <v>Positioning</v>
      </c>
      <c r="M55" s="16" t="str">
        <f>EN_PF_YearY!$C$47</f>
        <v>Civil society members and communities are proactively represented and engaged in coordination, governance and decision-making bodies and processes beyond the Coordinating Mechanism.</v>
      </c>
      <c r="N55" s="16" t="str">
        <f>EN_PF_QualitativeBaseline!$I$27</f>
        <v>1</v>
      </c>
      <c r="O55"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55" s="16">
        <f>EN_PF_QualitativeBaseline!$J$27</f>
        <v>0</v>
      </c>
      <c r="Q55" s="16" t="str">
        <f>EN_PF_YearY!D47</f>
        <v>Is civil society engagement being institutionalised?</v>
      </c>
      <c r="R55" s="16">
        <f>EN_PF_YearY!G47</f>
        <v>0</v>
      </c>
      <c r="S55" s="16" t="str">
        <f>EN_PF_YearY!H47</f>
        <v/>
      </c>
      <c r="T55" s="16">
        <f>EN_PF_YearY!I47</f>
        <v>0</v>
      </c>
      <c r="U55" s="16" t="str">
        <f>EN_PF_YearY!J47</f>
        <v/>
      </c>
      <c r="V55" s="16" t="str">
        <f>EN_PF_YearY!K47</f>
        <v/>
      </c>
      <c r="W55" s="16">
        <f>EN_PF_YearY!L47</f>
        <v>0</v>
      </c>
      <c r="X55" s="16">
        <f>EN_PF_YearY!M47</f>
        <v>0</v>
      </c>
    </row>
    <row r="56" spans="1:24" ht="15.75" thickBot="1" x14ac:dyDescent="0.3">
      <c r="A56" s="13">
        <v>23</v>
      </c>
      <c r="B56" s="16" t="str">
        <f>EN_PF_YearY!$D$13</f>
        <v>CCM Lao PDR</v>
      </c>
      <c r="C56" s="16" t="str">
        <f>EN_PF_YearY!$D$14</f>
        <v>Yes</v>
      </c>
      <c r="D56" s="16">
        <f>EN_PF_YearY!$D$15</f>
        <v>0</v>
      </c>
      <c r="E56" s="16">
        <f>EN_PF_YearY!$D$17</f>
        <v>0</v>
      </c>
      <c r="F56" s="18">
        <f>EN_PF_YearY!$D$18</f>
        <v>0</v>
      </c>
      <c r="G56" s="18">
        <f>EN_PF_YearY!$D$19</f>
        <v>0</v>
      </c>
      <c r="H56" s="16">
        <f>EN_PF_YearY!$D$20</f>
        <v>0</v>
      </c>
      <c r="I56" s="16">
        <f>EN_PF_YearY!$D$21</f>
        <v>0</v>
      </c>
      <c r="J56" s="16" t="str">
        <f>EN_PF_YearY!$J$13</f>
        <v/>
      </c>
      <c r="K56" s="16">
        <f>EN_PF_YearY!$J$14</f>
        <v>0</v>
      </c>
      <c r="L56" s="16" t="str">
        <f>EN_PF_YearY!$B$48</f>
        <v>Operations</v>
      </c>
      <c r="M56" s="16" t="str">
        <f>EN_PF_YearY!$C$48</f>
        <v xml:space="preserve">The Coordinating Mechanism ensures ethical decision-making processes are adopted and mainstreamed throughout its operations. </v>
      </c>
      <c r="N56" s="16" t="str">
        <f>EN_PF_QualitativeBaseline!$I$28</f>
        <v>2</v>
      </c>
      <c r="O56"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56" s="16">
        <f>EN_PF_QualitativeBaseline!$J$28</f>
        <v>0</v>
      </c>
      <c r="Q56" s="16" t="str">
        <f>EN_PF_YearY!D48</f>
        <v>Does your Coordinating Mechanism have mechanisms to ensure ethical decision-making? (ER 6N, 6Q, 6R)</v>
      </c>
      <c r="R56" s="16">
        <f>EN_PF_YearY!G48</f>
        <v>0</v>
      </c>
      <c r="S56" s="16" t="str">
        <f>EN_PF_YearY!H48</f>
        <v/>
      </c>
      <c r="T56" s="16">
        <f>EN_PF_YearY!I48</f>
        <v>0</v>
      </c>
      <c r="U56" s="16" t="str">
        <f>EN_PF_YearY!J48</f>
        <v/>
      </c>
      <c r="V56" s="16" t="str">
        <f>EN_PF_YearY!K48</f>
        <v/>
      </c>
      <c r="W56" s="16">
        <f>EN_PF_YearY!L48</f>
        <v>0</v>
      </c>
      <c r="X56" s="16">
        <f>EN_PF_YearY!M48</f>
        <v>0</v>
      </c>
    </row>
    <row r="57" spans="1:24" ht="15.75" thickBot="1" x14ac:dyDescent="0.3">
      <c r="A57" s="13">
        <v>24</v>
      </c>
      <c r="B57" s="16" t="str">
        <f>EN_PF_YearY!$D$13</f>
        <v>CCM Lao PDR</v>
      </c>
      <c r="C57" s="16" t="str">
        <f>EN_PF_YearY!$D$14</f>
        <v>Yes</v>
      </c>
      <c r="D57" s="16">
        <f>EN_PF_YearY!$D$15</f>
        <v>0</v>
      </c>
      <c r="E57" s="16">
        <f>EN_PF_YearY!$D$17</f>
        <v>0</v>
      </c>
      <c r="F57" s="18">
        <f>EN_PF_YearY!$D$18</f>
        <v>0</v>
      </c>
      <c r="G57" s="18">
        <f>EN_PF_YearY!$D$19</f>
        <v>0</v>
      </c>
      <c r="H57" s="16">
        <f>EN_PF_YearY!$D$20</f>
        <v>0</v>
      </c>
      <c r="I57" s="16">
        <f>EN_PF_YearY!$D$21</f>
        <v>0</v>
      </c>
      <c r="J57" s="16" t="str">
        <f>EN_PF_YearY!$J$13</f>
        <v/>
      </c>
      <c r="K57" s="16">
        <f>EN_PF_YearY!$J$14</f>
        <v>0</v>
      </c>
      <c r="L57" s="16" t="str">
        <f>EN_PF_YearY!$B$48</f>
        <v>Operations</v>
      </c>
      <c r="M57" s="16" t="str">
        <f>EN_PF_YearY!$C$48</f>
        <v xml:space="preserve">The Coordinating Mechanism ensures ethical decision-making processes are adopted and mainstreamed throughout its operations. </v>
      </c>
      <c r="N57" s="16" t="str">
        <f>EN_PF_QualitativeBaseline!$I$28</f>
        <v>2</v>
      </c>
      <c r="O57"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57" s="16">
        <f>EN_PF_QualitativeBaseline!$J$28</f>
        <v>0</v>
      </c>
      <c r="Q57" s="16" t="str">
        <f>EN_PF_YearY!D49</f>
        <v>Does the Coordinating Mechanism follow procedures to prevent or mitigate conflicts of interest, for instance during the (PR) selection process? (ER 6O, 6P)</v>
      </c>
      <c r="R57" s="16">
        <f>EN_PF_YearY!G49</f>
        <v>0</v>
      </c>
      <c r="S57" s="16" t="str">
        <f>EN_PF_YearY!H49</f>
        <v/>
      </c>
      <c r="T57" s="16">
        <f>EN_PF_YearY!I49</f>
        <v>0</v>
      </c>
      <c r="U57" s="16" t="str">
        <f>EN_PF_YearY!J49</f>
        <v/>
      </c>
      <c r="V57" s="16" t="str">
        <f>EN_PF_YearY!K49</f>
        <v/>
      </c>
      <c r="W57" s="16">
        <f>EN_PF_YearY!L49</f>
        <v>0</v>
      </c>
      <c r="X57" s="16">
        <f>EN_PF_YearY!M49</f>
        <v>0</v>
      </c>
    </row>
    <row r="58" spans="1:24" ht="15.75" thickBot="1" x14ac:dyDescent="0.3">
      <c r="A58" s="13">
        <v>25</v>
      </c>
      <c r="B58" s="16" t="str">
        <f>EN_PF_YearY!$D$13</f>
        <v>CCM Lao PDR</v>
      </c>
      <c r="C58" s="16" t="str">
        <f>EN_PF_YearY!$D$14</f>
        <v>Yes</v>
      </c>
      <c r="D58" s="16">
        <f>EN_PF_YearY!$D$15</f>
        <v>0</v>
      </c>
      <c r="E58" s="16">
        <f>EN_PF_YearY!$D$17</f>
        <v>0</v>
      </c>
      <c r="F58" s="18">
        <f>EN_PF_YearY!$D$18</f>
        <v>0</v>
      </c>
      <c r="G58" s="18">
        <f>EN_PF_YearY!$D$19</f>
        <v>0</v>
      </c>
      <c r="H58" s="16">
        <f>EN_PF_YearY!$D$20</f>
        <v>0</v>
      </c>
      <c r="I58" s="16">
        <f>EN_PF_YearY!$D$21</f>
        <v>0</v>
      </c>
      <c r="J58" s="16" t="str">
        <f>EN_PF_YearY!$J$13</f>
        <v/>
      </c>
      <c r="K58" s="16">
        <f>EN_PF_YearY!$J$14</f>
        <v>0</v>
      </c>
      <c r="L58" s="16" t="str">
        <f>EN_PF_YearY!$B$48</f>
        <v>Operations</v>
      </c>
      <c r="M58" s="16" t="str">
        <f>EN_PF_YearY!$C$48</f>
        <v xml:space="preserve">The Coordinating Mechanism ensures ethical decision-making processes are adopted and mainstreamed throughout its operations. </v>
      </c>
      <c r="N58" s="16" t="str">
        <f>EN_PF_QualitativeBaseline!$I$28</f>
        <v>2</v>
      </c>
      <c r="O58"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58" s="16">
        <f>EN_PF_QualitativeBaseline!$J$28</f>
        <v>0</v>
      </c>
      <c r="Q58" s="16" t="str">
        <f>EN_PF_YearY!D50</f>
        <v>Does the Coordinating Mechanism respond to Ethical issues? (ER 6S)</v>
      </c>
      <c r="R58" s="16">
        <f>EN_PF_YearY!G50</f>
        <v>0</v>
      </c>
      <c r="S58" s="16" t="str">
        <f>EN_PF_YearY!H50</f>
        <v/>
      </c>
      <c r="T58" s="16">
        <f>EN_PF_YearY!I50</f>
        <v>0</v>
      </c>
      <c r="U58" s="16" t="str">
        <f>EN_PF_YearY!J50</f>
        <v/>
      </c>
      <c r="V58" s="16" t="str">
        <f>EN_PF_YearY!K50</f>
        <v/>
      </c>
      <c r="W58" s="16">
        <f>EN_PF_YearY!L50</f>
        <v>0</v>
      </c>
      <c r="X58" s="16">
        <f>EN_PF_YearY!M50</f>
        <v>0</v>
      </c>
    </row>
    <row r="59" spans="1:24" ht="15.75" thickBot="1" x14ac:dyDescent="0.3">
      <c r="A59" s="13">
        <v>26</v>
      </c>
      <c r="B59" s="16" t="str">
        <f>EN_PF_YearY!$D$13</f>
        <v>CCM Lao PDR</v>
      </c>
      <c r="C59" s="16" t="str">
        <f>EN_PF_YearY!$D$14</f>
        <v>Yes</v>
      </c>
      <c r="D59" s="16">
        <f>EN_PF_YearY!$D$15</f>
        <v>0</v>
      </c>
      <c r="E59" s="16">
        <f>EN_PF_YearY!$D$17</f>
        <v>0</v>
      </c>
      <c r="F59" s="18">
        <f>EN_PF_YearY!$D$18</f>
        <v>0</v>
      </c>
      <c r="G59" s="18">
        <f>EN_PF_YearY!$D$19</f>
        <v>0</v>
      </c>
      <c r="H59" s="16">
        <f>EN_PF_YearY!$D$20</f>
        <v>0</v>
      </c>
      <c r="I59" s="16">
        <f>EN_PF_YearY!$D$21</f>
        <v>0</v>
      </c>
      <c r="J59" s="16" t="str">
        <f>EN_PF_YearY!$J$13</f>
        <v/>
      </c>
      <c r="K59" s="16">
        <f>EN_PF_YearY!$J$14</f>
        <v>0</v>
      </c>
      <c r="L59" s="16" t="str">
        <f>EN_PF_YearY!$B$48</f>
        <v>Operations</v>
      </c>
      <c r="M59" s="16" t="str">
        <f>EN_PF_YearY!$C$51</f>
        <v>The Coordinating Mechanism Secretariat provides effective administratve and  strategic support to the CM and its structures.</v>
      </c>
      <c r="N59" s="16" t="str">
        <f>EN_PF_QualitativeBaseline!$I$29</f>
        <v>2</v>
      </c>
      <c r="O59"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59" s="16">
        <f>EN_PF_QualitativeBaseline!$J$29</f>
        <v>0</v>
      </c>
      <c r="Q59" s="16" t="str">
        <f>EN_PF_YearY!D51</f>
        <v>Does the CM Secretariat provide adequate information to Coordinating Mechanism members, to help them perform their role?</v>
      </c>
      <c r="R59" s="16">
        <f>EN_PF_YearY!G51</f>
        <v>0</v>
      </c>
      <c r="S59" s="16" t="str">
        <f>EN_PF_YearY!H51</f>
        <v/>
      </c>
      <c r="T59" s="16">
        <f>EN_PF_YearY!I51</f>
        <v>0</v>
      </c>
      <c r="U59" s="16" t="str">
        <f>EN_PF_YearY!J51</f>
        <v/>
      </c>
      <c r="V59" s="16" t="str">
        <f>EN_PF_YearY!K51</f>
        <v/>
      </c>
      <c r="W59" s="16">
        <f>EN_PF_YearY!L51</f>
        <v>0</v>
      </c>
      <c r="X59" s="16">
        <f>EN_PF_YearY!M51</f>
        <v>0</v>
      </c>
    </row>
    <row r="60" spans="1:24" ht="15.75" thickBot="1" x14ac:dyDescent="0.3">
      <c r="A60" s="13">
        <v>27</v>
      </c>
      <c r="B60" s="16" t="str">
        <f>EN_PF_YearY!$D$13</f>
        <v>CCM Lao PDR</v>
      </c>
      <c r="C60" s="16" t="str">
        <f>EN_PF_YearY!$D$14</f>
        <v>Yes</v>
      </c>
      <c r="D60" s="16">
        <f>EN_PF_YearY!$D$15</f>
        <v>0</v>
      </c>
      <c r="E60" s="16">
        <f>EN_PF_YearY!$D$17</f>
        <v>0</v>
      </c>
      <c r="F60" s="18">
        <f>EN_PF_YearY!$D$18</f>
        <v>0</v>
      </c>
      <c r="G60" s="18">
        <f>EN_PF_YearY!$D$19</f>
        <v>0</v>
      </c>
      <c r="H60" s="16">
        <f>EN_PF_YearY!$D$20</f>
        <v>0</v>
      </c>
      <c r="I60" s="16">
        <f>EN_PF_YearY!$D$21</f>
        <v>0</v>
      </c>
      <c r="J60" s="16" t="str">
        <f>EN_PF_YearY!$J$13</f>
        <v/>
      </c>
      <c r="K60" s="16">
        <f>EN_PF_YearY!$J$14</f>
        <v>0</v>
      </c>
      <c r="L60" s="16" t="str">
        <f>EN_PF_YearY!$B$48</f>
        <v>Operations</v>
      </c>
      <c r="M60" s="16" t="str">
        <f>EN_PF_YearY!$C$51</f>
        <v>The Coordinating Mechanism Secretariat provides effective administratve and  strategic support to the CM and its structures.</v>
      </c>
      <c r="N60" s="16" t="str">
        <f>EN_PF_QualitativeBaseline!$I$29</f>
        <v>2</v>
      </c>
      <c r="O60"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60" s="16">
        <f>EN_PF_QualitativeBaseline!$J$29</f>
        <v>0</v>
      </c>
      <c r="Q60" s="16" t="str">
        <f>EN_PF_YearY!D52</f>
        <v>Does the Leadership provide effective performance management of CM Secretariat staff?</v>
      </c>
      <c r="R60" s="16">
        <f>EN_PF_YearY!G52</f>
        <v>0</v>
      </c>
      <c r="S60" s="16" t="str">
        <f>EN_PF_YearY!H52</f>
        <v/>
      </c>
      <c r="T60" s="16">
        <f>EN_PF_YearY!I52</f>
        <v>0</v>
      </c>
      <c r="U60" s="16" t="str">
        <f>EN_PF_YearY!J52</f>
        <v/>
      </c>
      <c r="V60" s="16" t="str">
        <f>EN_PF_YearY!K52</f>
        <v/>
      </c>
      <c r="W60" s="16">
        <f>EN_PF_YearY!L52</f>
        <v>0</v>
      </c>
      <c r="X60" s="16">
        <f>EN_PF_YearY!M52</f>
        <v>0</v>
      </c>
    </row>
    <row r="61" spans="1:24" ht="15.75" thickBot="1" x14ac:dyDescent="0.3">
      <c r="A61" s="13">
        <v>28</v>
      </c>
      <c r="B61" s="16" t="str">
        <f>EN_PF_YearY!$D$13</f>
        <v>CCM Lao PDR</v>
      </c>
      <c r="C61" s="16" t="str">
        <f>EN_PF_YearY!$D$14</f>
        <v>Yes</v>
      </c>
      <c r="D61" s="16">
        <f>EN_PF_YearY!$D$15</f>
        <v>0</v>
      </c>
      <c r="E61" s="16">
        <f>EN_PF_YearY!$D$17</f>
        <v>0</v>
      </c>
      <c r="F61" s="18">
        <f>EN_PF_YearY!$D$18</f>
        <v>0</v>
      </c>
      <c r="G61" s="18">
        <f>EN_PF_YearY!$D$19</f>
        <v>0</v>
      </c>
      <c r="H61" s="16">
        <f>EN_PF_YearY!$D$20</f>
        <v>0</v>
      </c>
      <c r="I61" s="16">
        <f>EN_PF_YearY!$D$21</f>
        <v>0</v>
      </c>
      <c r="J61" s="16" t="str">
        <f>EN_PF_YearY!$J$13</f>
        <v/>
      </c>
      <c r="K61" s="16">
        <f>EN_PF_YearY!$J$14</f>
        <v>0</v>
      </c>
      <c r="L61" s="16" t="str">
        <f>EN_PF_YearY!$B$48</f>
        <v>Operations</v>
      </c>
      <c r="M61" s="16" t="str">
        <f>EN_PF_YearY!$C$51</f>
        <v>The Coordinating Mechanism Secretariat provides effective administratve and  strategic support to the CM and its structures.</v>
      </c>
      <c r="N61" s="16" t="str">
        <f>EN_PF_QualitativeBaseline!$I$29</f>
        <v>2</v>
      </c>
      <c r="O61"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61" s="16">
        <f>EN_PF_QualitativeBaseline!$J$29</f>
        <v>0</v>
      </c>
      <c r="Q61" s="16" t="str">
        <f>EN_PF_YearY!D53</f>
        <v>Does the CM Secretariat ensure effective management of the Coordinating Mechanism's resources?</v>
      </c>
      <c r="R61" s="16">
        <f>EN_PF_YearY!G53</f>
        <v>0</v>
      </c>
      <c r="S61" s="16" t="str">
        <f>EN_PF_YearY!H53</f>
        <v/>
      </c>
      <c r="T61" s="16">
        <f>EN_PF_YearY!I53</f>
        <v>0</v>
      </c>
      <c r="U61" s="16" t="str">
        <f>EN_PF_YearY!J53</f>
        <v/>
      </c>
      <c r="V61" s="16" t="str">
        <f>EN_PF_YearY!K53</f>
        <v/>
      </c>
      <c r="W61" s="16">
        <f>EN_PF_YearY!L53</f>
        <v>0</v>
      </c>
      <c r="X61" s="16">
        <f>EN_PF_YearY!M53</f>
        <v>0</v>
      </c>
    </row>
    <row r="62" spans="1:24" ht="15.75" thickBot="1" x14ac:dyDescent="0.3">
      <c r="A62" s="13">
        <v>29</v>
      </c>
      <c r="B62" s="16" t="str">
        <f>EN_PF_YearY!$D$13</f>
        <v>CCM Lao PDR</v>
      </c>
      <c r="C62" s="16" t="str">
        <f>EN_PF_YearY!$D$14</f>
        <v>Yes</v>
      </c>
      <c r="D62" s="16">
        <f>EN_PF_YearY!$D$15</f>
        <v>0</v>
      </c>
      <c r="E62" s="16">
        <f>EN_PF_YearY!$D$17</f>
        <v>0</v>
      </c>
      <c r="F62" s="18">
        <f>EN_PF_YearY!$D$18</f>
        <v>0</v>
      </c>
      <c r="G62" s="18">
        <f>EN_PF_YearY!$D$19</f>
        <v>0</v>
      </c>
      <c r="H62" s="16">
        <f>EN_PF_YearY!$D$20</f>
        <v>0</v>
      </c>
      <c r="I62" s="16">
        <f>EN_PF_YearY!$D$21</f>
        <v>0</v>
      </c>
      <c r="J62" s="16" t="str">
        <f>EN_PF_YearY!$J$13</f>
        <v/>
      </c>
      <c r="K62" s="16">
        <f>EN_PF_YearY!$J$14</f>
        <v>0</v>
      </c>
      <c r="L62" s="16" t="str">
        <f>EN_PF_YearY!$B$48</f>
        <v>Operations</v>
      </c>
      <c r="M62" s="16" t="str">
        <f>EN_PF_YearY!$C$54</f>
        <v xml:space="preserve">The Coordinating Mechanism has appropriate and relevant structures in place, which operate optimally and efficiently. </v>
      </c>
      <c r="N62" s="16" t="str">
        <f>EN_PF_QualitativeBaseline!$I$30</f>
        <v>2</v>
      </c>
      <c r="O62"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62" s="16">
        <f>EN_PF_QualitativeBaseline!$J$30</f>
        <v>0</v>
      </c>
      <c r="Q62" s="16" t="str">
        <f>EN_PF_YearY!D54</f>
        <v>Are Coordinating Mechanism members prepared to take on their role?</v>
      </c>
      <c r="R62" s="16">
        <f>EN_PF_YearY!G54</f>
        <v>0</v>
      </c>
      <c r="S62" s="16" t="str">
        <f>EN_PF_YearY!H54</f>
        <v/>
      </c>
      <c r="T62" s="16">
        <f>EN_PF_YearY!I54</f>
        <v>0</v>
      </c>
      <c r="U62" s="16" t="str">
        <f>EN_PF_YearY!J54</f>
        <v/>
      </c>
      <c r="V62" s="16" t="str">
        <f>EN_PF_YearY!K54</f>
        <v/>
      </c>
      <c r="W62" s="16">
        <f>EN_PF_YearY!L54</f>
        <v>0</v>
      </c>
      <c r="X62" s="16">
        <f>EN_PF_YearY!M54</f>
        <v>0</v>
      </c>
    </row>
    <row r="63" spans="1:24" ht="15.75" thickBot="1" x14ac:dyDescent="0.3">
      <c r="A63" s="13">
        <v>30</v>
      </c>
      <c r="B63" s="16" t="str">
        <f>EN_PF_YearY!$D$13</f>
        <v>CCM Lao PDR</v>
      </c>
      <c r="C63" s="16" t="str">
        <f>EN_PF_YearY!$D$14</f>
        <v>Yes</v>
      </c>
      <c r="D63" s="16">
        <f>EN_PF_YearY!$D$15</f>
        <v>0</v>
      </c>
      <c r="E63" s="16">
        <f>EN_PF_YearY!$D$17</f>
        <v>0</v>
      </c>
      <c r="F63" s="18">
        <f>EN_PF_YearY!$D$18</f>
        <v>0</v>
      </c>
      <c r="G63" s="18">
        <f>EN_PF_YearY!$D$19</f>
        <v>0</v>
      </c>
      <c r="H63" s="16">
        <f>EN_PF_YearY!$D$20</f>
        <v>0</v>
      </c>
      <c r="I63" s="16">
        <f>EN_PF_YearY!$D$21</f>
        <v>0</v>
      </c>
      <c r="J63" s="16" t="str">
        <f>EN_PF_YearY!$J$13</f>
        <v/>
      </c>
      <c r="K63" s="16">
        <f>EN_PF_YearY!$J$14</f>
        <v>0</v>
      </c>
      <c r="L63" s="16" t="str">
        <f>EN_PF_YearY!$B$48</f>
        <v>Operations</v>
      </c>
      <c r="M63" s="16" t="str">
        <f>EN_PF_YearY!$C$54</f>
        <v xml:space="preserve">The Coordinating Mechanism has appropriate and relevant structures in place, which operate optimally and efficiently. </v>
      </c>
      <c r="N63" s="16" t="str">
        <f>EN_PF_QualitativeBaseline!$I$30</f>
        <v>2</v>
      </c>
      <c r="O63"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63" s="16">
        <f>EN_PF_QualitativeBaseline!$J$30</f>
        <v>0</v>
      </c>
      <c r="Q63" s="16" t="str">
        <f>EN_PF_YearY!D55</f>
        <v xml:space="preserve">Does the Coordinating Mechanism regularly review its structure and associated governance documents to ensure relevance? 
Open seats to be assigned every cycle to an emerging targeted group or technical partner are encouraged. </v>
      </c>
      <c r="R63" s="16">
        <f>EN_PF_YearY!G55</f>
        <v>0</v>
      </c>
      <c r="S63" s="16" t="str">
        <f>EN_PF_YearY!H55</f>
        <v/>
      </c>
      <c r="T63" s="16">
        <f>EN_PF_YearY!I55</f>
        <v>0</v>
      </c>
      <c r="U63" s="16" t="str">
        <f>EN_PF_YearY!J55</f>
        <v/>
      </c>
      <c r="V63" s="16" t="str">
        <f>EN_PF_YearY!K55</f>
        <v/>
      </c>
      <c r="W63" s="16">
        <f>EN_PF_YearY!L55</f>
        <v>0</v>
      </c>
      <c r="X63" s="16">
        <f>EN_PF_YearY!M55</f>
        <v>0</v>
      </c>
    </row>
    <row r="64" spans="1:24" ht="15.75" thickBot="1" x14ac:dyDescent="0.3">
      <c r="A64" s="13">
        <v>31</v>
      </c>
      <c r="B64" s="16" t="str">
        <f>EN_PF_YearY!$D$13</f>
        <v>CCM Lao PDR</v>
      </c>
      <c r="C64" s="16" t="str">
        <f>EN_PF_YearY!$D$14</f>
        <v>Yes</v>
      </c>
      <c r="D64" s="16">
        <f>EN_PF_YearY!$D$15</f>
        <v>0</v>
      </c>
      <c r="E64" s="16">
        <f>EN_PF_YearY!$D$17</f>
        <v>0</v>
      </c>
      <c r="F64" s="18">
        <f>EN_PF_YearY!$D$18</f>
        <v>0</v>
      </c>
      <c r="G64" s="18">
        <f>EN_PF_YearY!$D$19</f>
        <v>0</v>
      </c>
      <c r="H64" s="16">
        <f>EN_PF_YearY!$D$20</f>
        <v>0</v>
      </c>
      <c r="I64" s="16">
        <f>EN_PF_YearY!$D$21</f>
        <v>0</v>
      </c>
      <c r="J64" s="16" t="str">
        <f>EN_PF_YearY!$J$13</f>
        <v/>
      </c>
      <c r="K64" s="16">
        <f>EN_PF_YearY!$J$14</f>
        <v>0</v>
      </c>
      <c r="L64" s="16" t="str">
        <f>EN_PF_YearY!$B$48</f>
        <v>Operations</v>
      </c>
      <c r="M64" s="16" t="str">
        <f>EN_PF_YearY!$C$56</f>
        <v>Coordinating Mechanism’s operations are effectively managed.</v>
      </c>
      <c r="N64" s="16" t="str">
        <f>EN_PF_QualitativeBaseline!$I$31</f>
        <v>3</v>
      </c>
      <c r="O64"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64" s="16">
        <f>EN_PF_QualitativeBaseline!$J$31</f>
        <v>0</v>
      </c>
      <c r="Q64" s="16" t="str">
        <f>EN_PF_YearY!D56</f>
        <v>Does the Coordinating Mechanism perform its core functions?</v>
      </c>
      <c r="R64" s="16">
        <f>EN_PF_YearY!G56</f>
        <v>0</v>
      </c>
      <c r="S64" s="16" t="str">
        <f>EN_PF_YearY!H56</f>
        <v/>
      </c>
      <c r="T64" s="16">
        <f>EN_PF_YearY!I56</f>
        <v>0</v>
      </c>
      <c r="U64" s="16" t="str">
        <f>EN_PF_YearY!J56</f>
        <v/>
      </c>
      <c r="V64" s="16" t="str">
        <f>EN_PF_YearY!K56</f>
        <v/>
      </c>
      <c r="W64" s="16">
        <f>EN_PF_YearY!L56</f>
        <v>0</v>
      </c>
      <c r="X64" s="16">
        <f>EN_PF_YearY!M56</f>
        <v>0</v>
      </c>
    </row>
    <row r="65" spans="1:24" ht="15.75" thickBot="1" x14ac:dyDescent="0.3"/>
    <row r="66" spans="1:24" ht="15.75" thickBot="1" x14ac:dyDescent="0.3">
      <c r="A66" s="13">
        <v>1</v>
      </c>
      <c r="B66" s="16" t="str">
        <f>EN_PF_YearZ!$D$13</f>
        <v>CCM Lao PDR</v>
      </c>
      <c r="C66" s="16" t="str">
        <f>EN_PF_YearZ!$D$14</f>
        <v>Yes</v>
      </c>
      <c r="D66" s="16">
        <f>EN_PF_YearZ!$D$15</f>
        <v>0</v>
      </c>
      <c r="E66" s="16">
        <f>EN_PF_YearZ!$D$17</f>
        <v>0</v>
      </c>
      <c r="F66" s="18">
        <f>EN_PF_YearZ!$D$18</f>
        <v>0</v>
      </c>
      <c r="G66" s="18">
        <f>EN_PF_YearZ!$D$19</f>
        <v>0</v>
      </c>
      <c r="H66" s="16">
        <f>EN_PF_YearZ!$D$20</f>
        <v>0</v>
      </c>
      <c r="I66" s="16">
        <f>EN_PF_YearZ!$D$20</f>
        <v>0</v>
      </c>
      <c r="J66" s="16" t="str">
        <f>EN_PF_YearZ!$J$13</f>
        <v/>
      </c>
      <c r="K66" s="16">
        <f>EN_PF_YearZ!$J$14</f>
        <v>0</v>
      </c>
      <c r="L66" s="16" t="str">
        <f>EN_PF_YearZ!$B$26</f>
        <v>Oversight</v>
      </c>
      <c r="M66" s="16" t="str">
        <f>EN_PF_YearZ!$C$26</f>
        <v>Effective Oversight Committee (OC) is in place with membership and plans aligned with the Global Fund (GF) grant priorities and relevant national processes (e.g. national program reviews and national planning).</v>
      </c>
      <c r="N66" s="16" t="str">
        <f>EN_PF_QualitativeBaseline!$I$16</f>
        <v>2</v>
      </c>
      <c r="O66"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66" s="16">
        <f>EN_PF_QualitativeBaseline!$J$16</f>
        <v>0</v>
      </c>
      <c r="Q66" s="16" t="str">
        <f>EN_PF_YearZ!D26</f>
        <v>Does your Coordinating Mechanism have an Oversight strategy? (ER 3A)</v>
      </c>
      <c r="R66" s="16">
        <f>EN_PF_YearZ!G26</f>
        <v>0</v>
      </c>
      <c r="S66" s="16" t="str">
        <f>EN_PF_YearZ!H26</f>
        <v/>
      </c>
      <c r="T66" s="16">
        <f>EN_PF_YearZ!I26</f>
        <v>0</v>
      </c>
      <c r="U66" s="16" t="str">
        <f>EN_PF_YearZ!J26</f>
        <v/>
      </c>
      <c r="V66" s="16" t="str">
        <f>EN_PF_YearZ!K26</f>
        <v/>
      </c>
      <c r="W66" s="16">
        <f>EN_PF_YearZ!L26</f>
        <v>0</v>
      </c>
      <c r="X66" s="16">
        <f>EN_PF_YearZ!M26</f>
        <v>0</v>
      </c>
    </row>
    <row r="67" spans="1:24" ht="15.75" thickBot="1" x14ac:dyDescent="0.3">
      <c r="A67" s="13">
        <v>2</v>
      </c>
      <c r="B67" s="16" t="str">
        <f>EN_PF_YearZ!$D$13</f>
        <v>CCM Lao PDR</v>
      </c>
      <c r="C67" s="16" t="str">
        <f>EN_PF_YearZ!$D$14</f>
        <v>Yes</v>
      </c>
      <c r="D67" s="16">
        <f>EN_PF_YearZ!$D$15</f>
        <v>0</v>
      </c>
      <c r="E67" s="16">
        <f>EN_PF_YearZ!$D$17</f>
        <v>0</v>
      </c>
      <c r="F67" s="18">
        <f>EN_PF_YearZ!$D$18</f>
        <v>0</v>
      </c>
      <c r="G67" s="18">
        <f>EN_PF_YearZ!$D$19</f>
        <v>0</v>
      </c>
      <c r="H67" s="16">
        <f>EN_PF_YearZ!$D$20</f>
        <v>0</v>
      </c>
      <c r="I67" s="16">
        <f>EN_PF_YearZ!$D$20</f>
        <v>0</v>
      </c>
      <c r="J67" s="16" t="str">
        <f>EN_PF_YearZ!$J$13</f>
        <v/>
      </c>
      <c r="K67" s="16">
        <f>EN_PF_YearZ!$J$14</f>
        <v>0</v>
      </c>
      <c r="L67" s="16" t="str">
        <f>EN_PF_YearZ!$B$26</f>
        <v>Oversight</v>
      </c>
      <c r="M67" s="16" t="str">
        <f>EN_PF_YearZ!$C$26</f>
        <v>Effective Oversight Committee (OC) is in place with membership and plans aligned with the Global Fund (GF) grant priorities and relevant national processes (e.g. national program reviews and national planning).</v>
      </c>
      <c r="N67" s="16" t="str">
        <f>EN_PF_QualitativeBaseline!$I$16</f>
        <v>2</v>
      </c>
      <c r="O67"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67" s="16">
        <f>EN_PF_QualitativeBaseline!$J$16</f>
        <v>0</v>
      </c>
      <c r="Q67" s="16" t="str">
        <f>EN_PF_YearZ!D27</f>
        <v>Does the OC have the following skills: financial management, disease-specific expertise, procurement and supply management, program management? (ER 3B)</v>
      </c>
      <c r="R67" s="16">
        <f>EN_PF_YearZ!G27</f>
        <v>0</v>
      </c>
      <c r="S67" s="16" t="str">
        <f>EN_PF_YearZ!H27</f>
        <v/>
      </c>
      <c r="T67" s="16">
        <f>EN_PF_YearZ!I27</f>
        <v>0</v>
      </c>
      <c r="U67" s="16" t="str">
        <f>EN_PF_YearZ!J27</f>
        <v/>
      </c>
      <c r="V67" s="16" t="str">
        <f>EN_PF_YearZ!K27</f>
        <v/>
      </c>
      <c r="W67" s="16">
        <f>EN_PF_YearZ!L27</f>
        <v>0</v>
      </c>
      <c r="X67" s="16">
        <f>EN_PF_YearZ!M27</f>
        <v>0</v>
      </c>
    </row>
    <row r="68" spans="1:24" ht="15.75" thickBot="1" x14ac:dyDescent="0.3">
      <c r="A68" s="13">
        <v>3</v>
      </c>
      <c r="B68" s="16" t="str">
        <f>EN_PF_YearZ!$D$13</f>
        <v>CCM Lao PDR</v>
      </c>
      <c r="C68" s="16" t="str">
        <f>EN_PF_YearZ!$D$14</f>
        <v>Yes</v>
      </c>
      <c r="D68" s="16">
        <f>EN_PF_YearZ!$D$15</f>
        <v>0</v>
      </c>
      <c r="E68" s="16">
        <f>EN_PF_YearZ!$D$17</f>
        <v>0</v>
      </c>
      <c r="F68" s="18">
        <f>EN_PF_YearZ!$D$18</f>
        <v>0</v>
      </c>
      <c r="G68" s="18">
        <f>EN_PF_YearZ!$D$19</f>
        <v>0</v>
      </c>
      <c r="H68" s="16">
        <f>EN_PF_YearZ!$D$20</f>
        <v>0</v>
      </c>
      <c r="I68" s="16">
        <f>EN_PF_YearZ!$D$20</f>
        <v>0</v>
      </c>
      <c r="J68" s="16" t="str">
        <f>EN_PF_YearZ!$J$13</f>
        <v/>
      </c>
      <c r="K68" s="16">
        <f>EN_PF_YearZ!$J$14</f>
        <v>0</v>
      </c>
      <c r="L68" s="16" t="str">
        <f>EN_PF_YearZ!$B$26</f>
        <v>Oversight</v>
      </c>
      <c r="M68" s="16" t="str">
        <f>EN_PF_YearZ!$C$26</f>
        <v>Effective Oversight Committee (OC) is in place with membership and plans aligned with the Global Fund (GF) grant priorities and relevant national processes (e.g. national program reviews and national planning).</v>
      </c>
      <c r="N68" s="16" t="str">
        <f>EN_PF_QualitativeBaseline!$I$16</f>
        <v>2</v>
      </c>
      <c r="O68"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68" s="16">
        <f>EN_PF_QualitativeBaseline!$J$16</f>
        <v>0</v>
      </c>
      <c r="Q68" s="16" t="str">
        <f>EN_PF_YearZ!D28</f>
        <v>Does the OC include Key and vulnerable populations / People living with the disease(s) (KVP/PLWD) representative(s)? (ER 3B)</v>
      </c>
      <c r="R68" s="16">
        <f>EN_PF_YearZ!G28</f>
        <v>0</v>
      </c>
      <c r="S68" s="16" t="str">
        <f>EN_PF_YearZ!H28</f>
        <v/>
      </c>
      <c r="T68" s="16">
        <f>EN_PF_YearZ!I28</f>
        <v>0</v>
      </c>
      <c r="U68" s="16" t="str">
        <f>EN_PF_YearZ!J28</f>
        <v/>
      </c>
      <c r="V68" s="16" t="str">
        <f>EN_PF_YearZ!K28</f>
        <v/>
      </c>
      <c r="W68" s="16">
        <f>EN_PF_YearZ!L28</f>
        <v>0</v>
      </c>
      <c r="X68" s="16">
        <f>EN_PF_YearZ!M28</f>
        <v>0</v>
      </c>
    </row>
    <row r="69" spans="1:24" ht="15.75" thickBot="1" x14ac:dyDescent="0.3">
      <c r="A69" s="13">
        <v>4</v>
      </c>
      <c r="B69" s="16" t="str">
        <f>EN_PF_YearZ!$D$13</f>
        <v>CCM Lao PDR</v>
      </c>
      <c r="C69" s="16" t="str">
        <f>EN_PF_YearZ!$D$14</f>
        <v>Yes</v>
      </c>
      <c r="D69" s="16">
        <f>EN_PF_YearZ!$D$15</f>
        <v>0</v>
      </c>
      <c r="E69" s="16">
        <f>EN_PF_YearZ!$D$17</f>
        <v>0</v>
      </c>
      <c r="F69" s="18">
        <f>EN_PF_YearZ!$D$18</f>
        <v>0</v>
      </c>
      <c r="G69" s="18">
        <f>EN_PF_YearZ!$D$19</f>
        <v>0</v>
      </c>
      <c r="H69" s="16">
        <f>EN_PF_YearZ!$D$20</f>
        <v>0</v>
      </c>
      <c r="I69" s="16">
        <f>EN_PF_YearZ!$D$20</f>
        <v>0</v>
      </c>
      <c r="J69" s="16" t="str">
        <f>EN_PF_YearZ!$J$13</f>
        <v/>
      </c>
      <c r="K69" s="16">
        <f>EN_PF_YearZ!$J$14</f>
        <v>0</v>
      </c>
      <c r="L69" s="16" t="str">
        <f>EN_PF_YearZ!$B$26</f>
        <v>Oversight</v>
      </c>
      <c r="M69" s="16" t="str">
        <f>EN_PF_YearZ!$C$29</f>
        <v>The Oversight Committee (OC) uses strategic information and analysis effectively, supporting evidenced-based decision-making throughout the GF grant-life cycle.</v>
      </c>
      <c r="N69" s="16" t="str">
        <f>EN_PF_QualitativeBaseline!$I$17</f>
        <v>2</v>
      </c>
      <c r="O69"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69" s="16">
        <f>EN_PF_QualitativeBaseline!$J$17</f>
        <v>0</v>
      </c>
      <c r="Q69" s="16" t="str">
        <f>EN_PF_YearZ!D29</f>
        <v>Does the OC regularly collect strategic information, including from non-implementers of GF grants through consultations and/or site visits, for data-driven decision-making? These may include community-lead monitoring (CLM) observatories, human rights complaints mechanisms, ...  (ER3C)</v>
      </c>
      <c r="R69" s="16">
        <f>EN_PF_YearZ!G29</f>
        <v>0</v>
      </c>
      <c r="S69" s="16" t="str">
        <f>EN_PF_YearZ!H29</f>
        <v/>
      </c>
      <c r="T69" s="16">
        <f>EN_PF_YearZ!I29</f>
        <v>0</v>
      </c>
      <c r="U69" s="16" t="str">
        <f>EN_PF_YearZ!J29</f>
        <v/>
      </c>
      <c r="V69" s="16" t="str">
        <f>EN_PF_YearZ!K29</f>
        <v/>
      </c>
      <c r="W69" s="16">
        <f>EN_PF_YearZ!L29</f>
        <v>0</v>
      </c>
      <c r="X69" s="16">
        <f>EN_PF_YearZ!M29</f>
        <v>0</v>
      </c>
    </row>
    <row r="70" spans="1:24" ht="15.75" thickBot="1" x14ac:dyDescent="0.3">
      <c r="A70" s="13">
        <v>5</v>
      </c>
      <c r="B70" s="16" t="str">
        <f>EN_PF_YearZ!$D$13</f>
        <v>CCM Lao PDR</v>
      </c>
      <c r="C70" s="16" t="str">
        <f>EN_PF_YearZ!$D$14</f>
        <v>Yes</v>
      </c>
      <c r="D70" s="16">
        <f>EN_PF_YearZ!$D$15</f>
        <v>0</v>
      </c>
      <c r="E70" s="16">
        <f>EN_PF_YearZ!$D$17</f>
        <v>0</v>
      </c>
      <c r="F70" s="18">
        <f>EN_PF_YearZ!$D$18</f>
        <v>0</v>
      </c>
      <c r="G70" s="18">
        <f>EN_PF_YearZ!$D$19</f>
        <v>0</v>
      </c>
      <c r="H70" s="16">
        <f>EN_PF_YearZ!$D$20</f>
        <v>0</v>
      </c>
      <c r="I70" s="16">
        <f>EN_PF_YearZ!$D$20</f>
        <v>0</v>
      </c>
      <c r="J70" s="16" t="str">
        <f>EN_PF_YearZ!$J$13</f>
        <v/>
      </c>
      <c r="K70" s="16">
        <f>EN_PF_YearZ!$J$14</f>
        <v>0</v>
      </c>
      <c r="L70" s="16" t="str">
        <f>EN_PF_YearZ!$B$26</f>
        <v>Oversight</v>
      </c>
      <c r="M70" s="16" t="str">
        <f>EN_PF_YearZ!$C$30</f>
        <v>The Coordinating Mechanism works effectively with PRs to identify and mitigate risks, bottlenecks and challenges to grant delivery (adopts risk management approach).</v>
      </c>
      <c r="N70" s="16" t="str">
        <f>EN_PF_QualitativeBaseline!$I$18</f>
        <v>0</v>
      </c>
      <c r="O70"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70" s="16">
        <f>EN_PF_QualitativeBaseline!$J$18</f>
        <v>0</v>
      </c>
      <c r="Q70" s="16" t="str">
        <f>EN_PF_YearZ!D30</f>
        <v>Does the OC meet regularly with Principal Recipients (PRs) to collect strategic information and discuss implementation progress, challenges, risks, or the need for program revisions?
(ER 3D)</v>
      </c>
      <c r="R70" s="16">
        <f>EN_PF_YearZ!G30</f>
        <v>0</v>
      </c>
      <c r="S70" s="16" t="str">
        <f>EN_PF_YearZ!H30</f>
        <v/>
      </c>
      <c r="T70" s="16">
        <f>EN_PF_YearZ!I30</f>
        <v>0</v>
      </c>
      <c r="U70" s="16" t="str">
        <f>EN_PF_YearZ!J30</f>
        <v/>
      </c>
      <c r="V70" s="16" t="str">
        <f>EN_PF_YearZ!K30</f>
        <v/>
      </c>
      <c r="W70" s="16">
        <f>EN_PF_YearZ!L30</f>
        <v>0</v>
      </c>
      <c r="X70" s="16">
        <f>EN_PF_YearZ!M30</f>
        <v>0</v>
      </c>
    </row>
    <row r="71" spans="1:24" ht="15.75" thickBot="1" x14ac:dyDescent="0.3">
      <c r="A71" s="13">
        <v>6</v>
      </c>
      <c r="B71" s="16" t="str">
        <f>EN_PF_YearZ!$D$13</f>
        <v>CCM Lao PDR</v>
      </c>
      <c r="C71" s="16" t="str">
        <f>EN_PF_YearZ!$D$14</f>
        <v>Yes</v>
      </c>
      <c r="D71" s="16">
        <f>EN_PF_YearZ!$D$15</f>
        <v>0</v>
      </c>
      <c r="E71" s="16">
        <f>EN_PF_YearZ!$D$17</f>
        <v>0</v>
      </c>
      <c r="F71" s="18">
        <f>EN_PF_YearZ!$D$18</f>
        <v>0</v>
      </c>
      <c r="G71" s="18">
        <f>EN_PF_YearZ!$D$19</f>
        <v>0</v>
      </c>
      <c r="H71" s="16">
        <f>EN_PF_YearZ!$D$20</f>
        <v>0</v>
      </c>
      <c r="I71" s="16">
        <f>EN_PF_YearZ!$D$20</f>
        <v>0</v>
      </c>
      <c r="J71" s="16" t="str">
        <f>EN_PF_YearZ!$J$13</f>
        <v/>
      </c>
      <c r="K71" s="16">
        <f>EN_PF_YearZ!$J$14</f>
        <v>0</v>
      </c>
      <c r="L71" s="16" t="str">
        <f>EN_PF_YearZ!$B$26</f>
        <v>Oversight</v>
      </c>
      <c r="M71" s="16" t="str">
        <f>EN_PF_YearZ!$C$30</f>
        <v>The Coordinating Mechanism works effectively with PRs to identify and mitigate risks, bottlenecks and challenges to grant delivery (adopts risk management approach).</v>
      </c>
      <c r="N71" s="16" t="str">
        <f>EN_PF_QualitativeBaseline!$I$18</f>
        <v>0</v>
      </c>
      <c r="O71"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71" s="16">
        <f>EN_PF_QualitativeBaseline!$J$18</f>
        <v>0</v>
      </c>
      <c r="Q71" s="16" t="str">
        <f>EN_PF_YearZ!D31</f>
        <v>Does the Coordinating Mechanism (General Assembly - GA) make decisions when problems and challenges are identified? (ER 3E)</v>
      </c>
      <c r="R71" s="16">
        <f>EN_PF_YearZ!G31</f>
        <v>0</v>
      </c>
      <c r="S71" s="16" t="str">
        <f>EN_PF_YearZ!H31</f>
        <v/>
      </c>
      <c r="T71" s="16">
        <f>EN_PF_YearZ!I31</f>
        <v>0</v>
      </c>
      <c r="U71" s="16" t="str">
        <f>EN_PF_YearZ!J31</f>
        <v/>
      </c>
      <c r="V71" s="16" t="str">
        <f>EN_PF_YearZ!K31</f>
        <v/>
      </c>
      <c r="W71" s="16">
        <f>EN_PF_YearZ!L31</f>
        <v>0</v>
      </c>
      <c r="X71" s="16">
        <f>EN_PF_YearZ!M31</f>
        <v>0</v>
      </c>
    </row>
    <row r="72" spans="1:24" ht="15.75" thickBot="1" x14ac:dyDescent="0.3">
      <c r="A72" s="13">
        <v>7</v>
      </c>
      <c r="B72" s="16" t="str">
        <f>EN_PF_YearZ!$D$13</f>
        <v>CCM Lao PDR</v>
      </c>
      <c r="C72" s="16" t="str">
        <f>EN_PF_YearZ!$D$14</f>
        <v>Yes</v>
      </c>
      <c r="D72" s="16">
        <f>EN_PF_YearZ!$D$15</f>
        <v>0</v>
      </c>
      <c r="E72" s="16">
        <f>EN_PF_YearZ!$D$17</f>
        <v>0</v>
      </c>
      <c r="F72" s="18">
        <f>EN_PF_YearZ!$D$18</f>
        <v>0</v>
      </c>
      <c r="G72" s="18">
        <f>EN_PF_YearZ!$D$19</f>
        <v>0</v>
      </c>
      <c r="H72" s="16">
        <f>EN_PF_YearZ!$D$20</f>
        <v>0</v>
      </c>
      <c r="I72" s="16">
        <f>EN_PF_YearZ!$D$20</f>
        <v>0</v>
      </c>
      <c r="J72" s="16" t="str">
        <f>EN_PF_YearZ!$J$13</f>
        <v/>
      </c>
      <c r="K72" s="16">
        <f>EN_PF_YearZ!$J$14</f>
        <v>0</v>
      </c>
      <c r="L72" s="16" t="str">
        <f>EN_PF_YearZ!$B$26</f>
        <v>Oversight</v>
      </c>
      <c r="M72" s="16" t="str">
        <f>EN_PF_YearZ!$C$30</f>
        <v>The Coordinating Mechanism works effectively with PRs to identify and mitigate risks, bottlenecks and challenges to grant delivery (adopts risk management approach).</v>
      </c>
      <c r="N72" s="16" t="str">
        <f>EN_PF_QualitativeBaseline!$I$18</f>
        <v>0</v>
      </c>
      <c r="O72"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72" s="16">
        <f>EN_PF_QualitativeBaseline!$J$18</f>
        <v>0</v>
      </c>
      <c r="Q72" s="16" t="str">
        <f>EN_PF_YearZ!D32</f>
        <v>Does the Coordinating Mechanism regularly share and follow up on oversight results with the Global Fund and in-country stakeholders? (ER 3F)</v>
      </c>
      <c r="R72" s="16">
        <f>EN_PF_YearZ!G32</f>
        <v>0</v>
      </c>
      <c r="S72" s="16" t="str">
        <f>EN_PF_YearZ!H32</f>
        <v/>
      </c>
      <c r="T72" s="16">
        <f>EN_PF_YearZ!I32</f>
        <v>0</v>
      </c>
      <c r="U72" s="16" t="str">
        <f>EN_PF_YearZ!J32</f>
        <v/>
      </c>
      <c r="V72" s="16" t="str">
        <f>EN_PF_YearZ!K32</f>
        <v/>
      </c>
      <c r="W72" s="16">
        <f>EN_PF_YearZ!L32</f>
        <v>0</v>
      </c>
      <c r="X72" s="16">
        <f>EN_PF_YearZ!M32</f>
        <v>0</v>
      </c>
    </row>
    <row r="73" spans="1:24" ht="15.75" thickBot="1" x14ac:dyDescent="0.3">
      <c r="A73" s="13">
        <v>8</v>
      </c>
      <c r="B73" s="16" t="str">
        <f>EN_PF_YearZ!$D$13</f>
        <v>CCM Lao PDR</v>
      </c>
      <c r="C73" s="16" t="str">
        <f>EN_PF_YearZ!$D$14</f>
        <v>Yes</v>
      </c>
      <c r="D73" s="16">
        <f>EN_PF_YearZ!$D$15</f>
        <v>0</v>
      </c>
      <c r="E73" s="16">
        <f>EN_PF_YearZ!$D$17</f>
        <v>0</v>
      </c>
      <c r="F73" s="18">
        <f>EN_PF_YearZ!$D$18</f>
        <v>0</v>
      </c>
      <c r="G73" s="18">
        <f>EN_PF_YearZ!$D$19</f>
        <v>0</v>
      </c>
      <c r="H73" s="16">
        <f>EN_PF_YearZ!$D$20</f>
        <v>0</v>
      </c>
      <c r="I73" s="16">
        <f>EN_PF_YearZ!$D$20</f>
        <v>0</v>
      </c>
      <c r="J73" s="16" t="str">
        <f>EN_PF_YearZ!$J$13</f>
        <v/>
      </c>
      <c r="K73" s="16">
        <f>EN_PF_YearZ!$J$14</f>
        <v>0</v>
      </c>
      <c r="L73" s="16" t="str">
        <f>EN_PF_YearZ!$B$26</f>
        <v>Oversight</v>
      </c>
      <c r="M73" s="16" t="str">
        <f>EN_PF_YearZ!$C$33</f>
        <v>The Coordinating Mechanism supports the realization of co-financing commitments.</v>
      </c>
      <c r="N73" s="16" t="str">
        <f>EN_PF_QualitativeBaseline!$I$19</f>
        <v>2</v>
      </c>
      <c r="O73" s="16" t="str">
        <f>EN_PF_QualitativeBaseline!$H$16</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P73" s="16">
        <f>EN_PF_QualitativeBaseline!$J$19</f>
        <v>0</v>
      </c>
      <c r="Q73" s="16" t="str">
        <f>EN_PF_YearZ!D33</f>
        <v>Does the Coordinating Mechanism discuss co-financing on its meetings and with key stakeholders?</v>
      </c>
      <c r="R73" s="16">
        <f>EN_PF_YearZ!G33</f>
        <v>0</v>
      </c>
      <c r="S73" s="16" t="str">
        <f>EN_PF_YearZ!H33</f>
        <v/>
      </c>
      <c r="T73" s="16">
        <f>EN_PF_YearZ!I33</f>
        <v>0</v>
      </c>
      <c r="U73" s="16" t="str">
        <f>EN_PF_YearZ!J33</f>
        <v/>
      </c>
      <c r="V73" s="16" t="str">
        <f>EN_PF_YearZ!K33</f>
        <v/>
      </c>
      <c r="W73" s="16">
        <f>EN_PF_YearZ!L33</f>
        <v>0</v>
      </c>
      <c r="X73" s="16">
        <f>EN_PF_YearZ!M33</f>
        <v>0</v>
      </c>
    </row>
    <row r="74" spans="1:24" ht="15.75" thickBot="1" x14ac:dyDescent="0.3">
      <c r="A74" s="13">
        <v>9</v>
      </c>
      <c r="B74" s="16" t="str">
        <f>EN_PF_YearZ!$D$13</f>
        <v>CCM Lao PDR</v>
      </c>
      <c r="C74" s="16" t="str">
        <f>EN_PF_YearZ!$D$14</f>
        <v>Yes</v>
      </c>
      <c r="D74" s="16">
        <f>EN_PF_YearZ!$D$15</f>
        <v>0</v>
      </c>
      <c r="E74" s="16">
        <f>EN_PF_YearZ!$D$17</f>
        <v>0</v>
      </c>
      <c r="F74" s="18">
        <f>EN_PF_YearZ!$D$18</f>
        <v>0</v>
      </c>
      <c r="G74" s="18">
        <f>EN_PF_YearZ!$D$19</f>
        <v>0</v>
      </c>
      <c r="H74" s="16">
        <f>EN_PF_YearZ!$D$20</f>
        <v>0</v>
      </c>
      <c r="I74" s="16">
        <f>EN_PF_YearZ!$D$20</f>
        <v>0</v>
      </c>
      <c r="J74" s="16" t="str">
        <f>EN_PF_YearZ!$J$13</f>
        <v/>
      </c>
      <c r="K74" s="16">
        <f>EN_PF_YearZ!$J$14</f>
        <v>0</v>
      </c>
      <c r="L74" s="16" t="str">
        <f>EN_PF_YearZ!$B$34</f>
        <v>Engagement</v>
      </c>
      <c r="M74" s="16" t="str">
        <f>EN_PF_YearZ!$C$34</f>
        <v xml:space="preserve">Coordinating Mechanism constituencies selection/election processes abide by principles of good governance (are transparent, ethical and well-documented) and ensure quality engagement. </v>
      </c>
      <c r="N74" s="16" t="str">
        <f>EN_PF_QualitativeBaseline!$I$20</f>
        <v>2</v>
      </c>
      <c r="O74"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74" s="16">
        <f>EN_PF_QualitativeBaseline!$J$20</f>
        <v>0</v>
      </c>
      <c r="Q74" s="16" t="str">
        <f>EN_PF_YearZ!D34</f>
        <v>Are key affected and most at risk groups represented in the Coordinating Mechanism? (ER 4G) (ER 4H)</v>
      </c>
      <c r="R74" s="16">
        <f>EN_PF_YearZ!G34</f>
        <v>0</v>
      </c>
      <c r="S74" s="16" t="str">
        <f>EN_PF_YearZ!H34</f>
        <v/>
      </c>
      <c r="T74" s="16">
        <f>EN_PF_YearZ!I34</f>
        <v>0</v>
      </c>
      <c r="U74" s="16" t="str">
        <f>EN_PF_YearZ!J34</f>
        <v/>
      </c>
      <c r="V74" s="16" t="str">
        <f>EN_PF_YearZ!K34</f>
        <v/>
      </c>
      <c r="W74" s="16">
        <f>EN_PF_YearZ!L34</f>
        <v>0</v>
      </c>
      <c r="X74" s="16">
        <f>EN_PF_YearZ!M34</f>
        <v>0</v>
      </c>
    </row>
    <row r="75" spans="1:24" ht="15.75" thickBot="1" x14ac:dyDescent="0.3">
      <c r="A75" s="13">
        <v>10</v>
      </c>
      <c r="B75" s="16" t="str">
        <f>EN_PF_YearZ!$D$13</f>
        <v>CCM Lao PDR</v>
      </c>
      <c r="C75" s="16" t="str">
        <f>EN_PF_YearZ!$D$14</f>
        <v>Yes</v>
      </c>
      <c r="D75" s="16">
        <f>EN_PF_YearZ!$D$15</f>
        <v>0</v>
      </c>
      <c r="E75" s="16">
        <f>EN_PF_YearZ!$D$17</f>
        <v>0</v>
      </c>
      <c r="F75" s="18">
        <f>EN_PF_YearZ!$D$18</f>
        <v>0</v>
      </c>
      <c r="G75" s="18">
        <f>EN_PF_YearZ!$D$19</f>
        <v>0</v>
      </c>
      <c r="H75" s="16">
        <f>EN_PF_YearZ!$D$20</f>
        <v>0</v>
      </c>
      <c r="I75" s="16">
        <f>EN_PF_YearZ!$D$20</f>
        <v>0</v>
      </c>
      <c r="J75" s="16" t="str">
        <f>EN_PF_YearZ!$J$13</f>
        <v/>
      </c>
      <c r="K75" s="16">
        <f>EN_PF_YearZ!$J$14</f>
        <v>0</v>
      </c>
      <c r="L75" s="16" t="str">
        <f>EN_PF_YearZ!$B$34</f>
        <v>Engagement</v>
      </c>
      <c r="M75" s="16" t="str">
        <f>EN_PF_YearZ!$C$34</f>
        <v xml:space="preserve">Coordinating Mechanism constituencies selection/election processes abide by principles of good governance (are transparent, ethical and well-documented) and ensure quality engagement. </v>
      </c>
      <c r="N75" s="16" t="str">
        <f>EN_PF_QualitativeBaseline!$I$20</f>
        <v>2</v>
      </c>
      <c r="O75"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75" s="16">
        <f>EN_PF_QualitativeBaseline!$J$20</f>
        <v>0</v>
      </c>
      <c r="Q75" s="16" t="str">
        <f>EN_PF_YearZ!D35</f>
        <v>Are the relevant ministries in the fight against the diseases represented in the Coordinating Mechanism, in line with the epidemiological context of the country?</v>
      </c>
      <c r="R75" s="16">
        <f>EN_PF_YearZ!G35</f>
        <v>0</v>
      </c>
      <c r="S75" s="16" t="str">
        <f>EN_PF_YearZ!H35</f>
        <v/>
      </c>
      <c r="T75" s="16">
        <f>EN_PF_YearZ!I35</f>
        <v>0</v>
      </c>
      <c r="U75" s="16" t="str">
        <f>EN_PF_YearZ!J35</f>
        <v/>
      </c>
      <c r="V75" s="16" t="str">
        <f>EN_PF_YearZ!K35</f>
        <v/>
      </c>
      <c r="W75" s="16">
        <f>EN_PF_YearZ!L35</f>
        <v>0</v>
      </c>
      <c r="X75" s="16">
        <f>EN_PF_YearZ!M35</f>
        <v>0</v>
      </c>
    </row>
    <row r="76" spans="1:24" ht="15.75" thickBot="1" x14ac:dyDescent="0.3">
      <c r="A76" s="13">
        <v>11</v>
      </c>
      <c r="B76" s="16" t="str">
        <f>EN_PF_YearZ!$D$13</f>
        <v>CCM Lao PDR</v>
      </c>
      <c r="C76" s="16" t="str">
        <f>EN_PF_YearZ!$D$14</f>
        <v>Yes</v>
      </c>
      <c r="D76" s="16">
        <f>EN_PF_YearZ!$D$15</f>
        <v>0</v>
      </c>
      <c r="E76" s="16">
        <f>EN_PF_YearZ!$D$17</f>
        <v>0</v>
      </c>
      <c r="F76" s="18">
        <f>EN_PF_YearZ!$D$18</f>
        <v>0</v>
      </c>
      <c r="G76" s="18">
        <f>EN_PF_YearZ!$D$19</f>
        <v>0</v>
      </c>
      <c r="H76" s="16">
        <f>EN_PF_YearZ!$D$20</f>
        <v>0</v>
      </c>
      <c r="I76" s="16">
        <f>EN_PF_YearZ!$D$20</f>
        <v>0</v>
      </c>
      <c r="J76" s="16" t="str">
        <f>EN_PF_YearZ!$J$13</f>
        <v/>
      </c>
      <c r="K76" s="16">
        <f>EN_PF_YearZ!$J$14</f>
        <v>0</v>
      </c>
      <c r="L76" s="16" t="str">
        <f>EN_PF_YearZ!$B$34</f>
        <v>Engagement</v>
      </c>
      <c r="M76" s="16" t="str">
        <f>EN_PF_YearZ!$C$34</f>
        <v xml:space="preserve">Coordinating Mechanism constituencies selection/election processes abide by principles of good governance (are transparent, ethical and well-documented) and ensure quality engagement. </v>
      </c>
      <c r="N76" s="16" t="str">
        <f>EN_PF_QualitativeBaseline!$I$20</f>
        <v>2</v>
      </c>
      <c r="O76"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76" s="16">
        <f>EN_PF_QualitativeBaseline!$J$20</f>
        <v>0</v>
      </c>
      <c r="Q76" s="16" t="str">
        <f>EN_PF_YearZ!D36</f>
        <v>Does the Coordinating Mechanism have balanced gender representation? (ER 4I)</v>
      </c>
      <c r="R76" s="16">
        <f>EN_PF_YearZ!G36</f>
        <v>0</v>
      </c>
      <c r="S76" s="16" t="str">
        <f>EN_PF_YearZ!H36</f>
        <v/>
      </c>
      <c r="T76" s="16">
        <f>EN_PF_YearZ!I36</f>
        <v>0</v>
      </c>
      <c r="U76" s="16" t="str">
        <f>EN_PF_YearZ!J36</f>
        <v/>
      </c>
      <c r="V76" s="16" t="str">
        <f>EN_PF_YearZ!K36</f>
        <v/>
      </c>
      <c r="W76" s="16">
        <f>EN_PF_YearZ!L36</f>
        <v>0</v>
      </c>
      <c r="X76" s="16">
        <f>EN_PF_YearZ!M36</f>
        <v>0</v>
      </c>
    </row>
    <row r="77" spans="1:24" ht="15.75" thickBot="1" x14ac:dyDescent="0.3">
      <c r="A77" s="13">
        <v>12</v>
      </c>
      <c r="B77" s="16" t="str">
        <f>EN_PF_YearZ!$D$13</f>
        <v>CCM Lao PDR</v>
      </c>
      <c r="C77" s="16" t="str">
        <f>EN_PF_YearZ!$D$14</f>
        <v>Yes</v>
      </c>
      <c r="D77" s="16">
        <f>EN_PF_YearZ!$D$15</f>
        <v>0</v>
      </c>
      <c r="E77" s="16">
        <f>EN_PF_YearZ!$D$17</f>
        <v>0</v>
      </c>
      <c r="F77" s="18">
        <f>EN_PF_YearZ!$D$18</f>
        <v>0</v>
      </c>
      <c r="G77" s="18">
        <f>EN_PF_YearZ!$D$19</f>
        <v>0</v>
      </c>
      <c r="H77" s="16">
        <f>EN_PF_YearZ!$D$20</f>
        <v>0</v>
      </c>
      <c r="I77" s="16">
        <f>EN_PF_YearZ!$D$20</f>
        <v>0</v>
      </c>
      <c r="J77" s="16" t="str">
        <f>EN_PF_YearZ!$J$13</f>
        <v/>
      </c>
      <c r="K77" s="16">
        <f>EN_PF_YearZ!$J$14</f>
        <v>0</v>
      </c>
      <c r="L77" s="16" t="str">
        <f>EN_PF_YearZ!$B$34</f>
        <v>Engagement</v>
      </c>
      <c r="M77" s="16" t="str">
        <f>EN_PF_YearZ!$C$34</f>
        <v xml:space="preserve">Coordinating Mechanism constituencies selection/election processes abide by principles of good governance (are transparent, ethical and well-documented) and ensure quality engagement. </v>
      </c>
      <c r="N77" s="16" t="str">
        <f>EN_PF_QualitativeBaseline!$I$20</f>
        <v>2</v>
      </c>
      <c r="O77"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77" s="16">
        <f>EN_PF_QualitativeBaseline!$J$20</f>
        <v>0</v>
      </c>
      <c r="Q77" s="16" t="str">
        <f>EN_PF_YearZ!D37</f>
        <v>Are the elections of Coordinating Mechanism members representing civil society constituencies well-documented? (ER 5J)</v>
      </c>
      <c r="R77" s="16">
        <f>EN_PF_YearZ!G37</f>
        <v>0</v>
      </c>
      <c r="S77" s="16" t="str">
        <f>EN_PF_YearZ!H37</f>
        <v/>
      </c>
      <c r="T77" s="16">
        <f>EN_PF_YearZ!I37</f>
        <v>0</v>
      </c>
      <c r="U77" s="16" t="str">
        <f>EN_PF_YearZ!J37</f>
        <v/>
      </c>
      <c r="V77" s="16" t="str">
        <f>EN_PF_YearZ!K37</f>
        <v/>
      </c>
      <c r="W77" s="16">
        <f>EN_PF_YearZ!L37</f>
        <v>0</v>
      </c>
      <c r="X77" s="16">
        <f>EN_PF_YearZ!M37</f>
        <v>0</v>
      </c>
    </row>
    <row r="78" spans="1:24" ht="15.75" thickBot="1" x14ac:dyDescent="0.3">
      <c r="A78" s="13">
        <v>13</v>
      </c>
      <c r="B78" s="16" t="str">
        <f>EN_PF_YearZ!$D$13</f>
        <v>CCM Lao PDR</v>
      </c>
      <c r="C78" s="16" t="str">
        <f>EN_PF_YearZ!$D$14</f>
        <v>Yes</v>
      </c>
      <c r="D78" s="16">
        <f>EN_PF_YearZ!$D$15</f>
        <v>0</v>
      </c>
      <c r="E78" s="16">
        <f>EN_PF_YearZ!$D$17</f>
        <v>0</v>
      </c>
      <c r="F78" s="18">
        <f>EN_PF_YearZ!$D$18</f>
        <v>0</v>
      </c>
      <c r="G78" s="18">
        <f>EN_PF_YearZ!$D$19</f>
        <v>0</v>
      </c>
      <c r="H78" s="16">
        <f>EN_PF_YearZ!$D$20</f>
        <v>0</v>
      </c>
      <c r="I78" s="16">
        <f>EN_PF_YearZ!$D$20</f>
        <v>0</v>
      </c>
      <c r="J78" s="16" t="str">
        <f>EN_PF_YearZ!$J$13</f>
        <v/>
      </c>
      <c r="K78" s="16">
        <f>EN_PF_YearZ!$J$14</f>
        <v>0</v>
      </c>
      <c r="L78" s="16" t="str">
        <f>EN_PF_YearZ!$B$34</f>
        <v>Engagement</v>
      </c>
      <c r="M78" s="16" t="str">
        <f>EN_PF_YearZ!$C$34</f>
        <v xml:space="preserve">Coordinating Mechanism constituencies selection/election processes abide by principles of good governance (are transparent, ethical and well-documented) and ensure quality engagement. </v>
      </c>
      <c r="N78" s="16" t="str">
        <f>EN_PF_QualitativeBaseline!$I$20</f>
        <v>2</v>
      </c>
      <c r="O78"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78" s="16">
        <f>EN_PF_QualitativeBaseline!$J$20</f>
        <v>0</v>
      </c>
      <c r="Q78" s="16" t="str">
        <f>EN_PF_YearZ!D38</f>
        <v>Does the Coordinating Mechanism elect Chair and Vice Chair(s) from different sectors and also follow good governance principles of periodic change and rotation of leadership? (ER 5M)</v>
      </c>
      <c r="R78" s="16">
        <f>EN_PF_YearZ!G38</f>
        <v>0</v>
      </c>
      <c r="S78" s="16" t="str">
        <f>EN_PF_YearZ!H38</f>
        <v/>
      </c>
      <c r="T78" s="16">
        <f>EN_PF_YearZ!I38</f>
        <v>0</v>
      </c>
      <c r="U78" s="16" t="str">
        <f>EN_PF_YearZ!J38</f>
        <v/>
      </c>
      <c r="V78" s="16" t="str">
        <f>EN_PF_YearZ!K38</f>
        <v/>
      </c>
      <c r="W78" s="16">
        <f>EN_PF_YearZ!L38</f>
        <v>0</v>
      </c>
      <c r="X78" s="16">
        <f>EN_PF_YearZ!M38</f>
        <v>0</v>
      </c>
    </row>
    <row r="79" spans="1:24" ht="15.75" thickBot="1" x14ac:dyDescent="0.3">
      <c r="A79" s="13">
        <v>14</v>
      </c>
      <c r="B79" s="16" t="str">
        <f>EN_PF_YearZ!$D$13</f>
        <v>CCM Lao PDR</v>
      </c>
      <c r="C79" s="16" t="str">
        <f>EN_PF_YearZ!$D$14</f>
        <v>Yes</v>
      </c>
      <c r="D79" s="16">
        <f>EN_PF_YearZ!$D$15</f>
        <v>0</v>
      </c>
      <c r="E79" s="16">
        <f>EN_PF_YearZ!$D$17</f>
        <v>0</v>
      </c>
      <c r="F79" s="18">
        <f>EN_PF_YearZ!$D$18</f>
        <v>0</v>
      </c>
      <c r="G79" s="18">
        <f>EN_PF_YearZ!$D$19</f>
        <v>0</v>
      </c>
      <c r="H79" s="16">
        <f>EN_PF_YearZ!$D$20</f>
        <v>0</v>
      </c>
      <c r="I79" s="16">
        <f>EN_PF_YearZ!$D$20</f>
        <v>0</v>
      </c>
      <c r="J79" s="16" t="str">
        <f>EN_PF_YearZ!$J$13</f>
        <v/>
      </c>
      <c r="K79" s="16">
        <f>EN_PF_YearZ!$J$14</f>
        <v>0</v>
      </c>
      <c r="L79" s="16" t="str">
        <f>EN_PF_YearZ!$B$34</f>
        <v>Engagement</v>
      </c>
      <c r="M79" s="16" t="str">
        <f>EN_PF_YearZ!$C$39</f>
        <v>Coordinating Mechanism constituencies actively engage and input into GF processes.</v>
      </c>
      <c r="N79" s="16" t="str">
        <f>EN_PF_QualitativeBaseline!$I$21</f>
        <v>2</v>
      </c>
      <c r="O79"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79" s="16">
        <f>EN_PF_QualitativeBaseline!$J$21</f>
        <v>0</v>
      </c>
      <c r="Q79" s="16" t="str">
        <f>EN_PF_YearZ!D39</f>
        <v>Does the non-state sector (Private Sector / Civil Society / Academia) account for at least 40% of the Coordinating Mechanism seats? (ER 5K)</v>
      </c>
      <c r="R79" s="16">
        <f>EN_PF_YearZ!G39</f>
        <v>0</v>
      </c>
      <c r="S79" s="16" t="str">
        <f>EN_PF_YearZ!H39</f>
        <v/>
      </c>
      <c r="T79" s="16">
        <f>EN_PF_YearZ!I39</f>
        <v>0</v>
      </c>
      <c r="U79" s="16" t="str">
        <f>EN_PF_YearZ!J39</f>
        <v/>
      </c>
      <c r="V79" s="16" t="str">
        <f>EN_PF_YearZ!K39</f>
        <v/>
      </c>
      <c r="W79" s="16">
        <f>EN_PF_YearZ!L39</f>
        <v>0</v>
      </c>
      <c r="X79" s="16">
        <f>EN_PF_YearZ!M39</f>
        <v>0</v>
      </c>
    </row>
    <row r="80" spans="1:24" ht="15.75" thickBot="1" x14ac:dyDescent="0.3">
      <c r="A80" s="13">
        <v>15</v>
      </c>
      <c r="B80" s="16" t="str">
        <f>EN_PF_YearZ!$D$13</f>
        <v>CCM Lao PDR</v>
      </c>
      <c r="C80" s="16" t="str">
        <f>EN_PF_YearZ!$D$14</f>
        <v>Yes</v>
      </c>
      <c r="D80" s="16">
        <f>EN_PF_YearZ!$D$15</f>
        <v>0</v>
      </c>
      <c r="E80" s="16">
        <f>EN_PF_YearZ!$D$17</f>
        <v>0</v>
      </c>
      <c r="F80" s="18">
        <f>EN_PF_YearZ!$D$18</f>
        <v>0</v>
      </c>
      <c r="G80" s="18">
        <f>EN_PF_YearZ!$D$19</f>
        <v>0</v>
      </c>
      <c r="H80" s="16">
        <f>EN_PF_YearZ!$D$20</f>
        <v>0</v>
      </c>
      <c r="I80" s="16">
        <f>EN_PF_YearZ!$D$20</f>
        <v>0</v>
      </c>
      <c r="J80" s="16" t="str">
        <f>EN_PF_YearZ!$J$13</f>
        <v/>
      </c>
      <c r="K80" s="16">
        <f>EN_PF_YearZ!$J$14</f>
        <v>0</v>
      </c>
      <c r="L80" s="16" t="str">
        <f>EN_PF_YearZ!$B$34</f>
        <v>Engagement</v>
      </c>
      <c r="M80" s="16" t="str">
        <f>EN_PF_YearZ!$C$39</f>
        <v>Coordinating Mechanism constituencies actively engage and input into GF processes.</v>
      </c>
      <c r="N80" s="16" t="str">
        <f>EN_PF_QualitativeBaseline!$I$21</f>
        <v>2</v>
      </c>
      <c r="O80"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80" s="16">
        <f>EN_PF_QualitativeBaseline!$J$21</f>
        <v>0</v>
      </c>
      <c r="Q80" s="16" t="str">
        <f>EN_PF_YearZ!D40</f>
        <v>Are non-state members actively engaged in all key committees (oversight, executive, ethics)?</v>
      </c>
      <c r="R80" s="16">
        <f>EN_PF_YearZ!G40</f>
        <v>0</v>
      </c>
      <c r="S80" s="16" t="str">
        <f>EN_PF_YearZ!H40</f>
        <v/>
      </c>
      <c r="T80" s="16">
        <f>EN_PF_YearZ!I40</f>
        <v>0</v>
      </c>
      <c r="U80" s="16" t="str">
        <f>EN_PF_YearZ!J40</f>
        <v/>
      </c>
      <c r="V80" s="16" t="str">
        <f>EN_PF_YearZ!K40</f>
        <v/>
      </c>
      <c r="W80" s="16">
        <f>EN_PF_YearZ!L40</f>
        <v>0</v>
      </c>
      <c r="X80" s="16">
        <f>EN_PF_YearZ!M40</f>
        <v>0</v>
      </c>
    </row>
    <row r="81" spans="1:24" ht="15.75" thickBot="1" x14ac:dyDescent="0.3">
      <c r="A81" s="13">
        <v>16</v>
      </c>
      <c r="B81" s="16" t="str">
        <f>EN_PF_YearZ!$D$13</f>
        <v>CCM Lao PDR</v>
      </c>
      <c r="C81" s="16" t="str">
        <f>EN_PF_YearZ!$D$14</f>
        <v>Yes</v>
      </c>
      <c r="D81" s="16">
        <f>EN_PF_YearZ!$D$15</f>
        <v>0</v>
      </c>
      <c r="E81" s="16">
        <f>EN_PF_YearZ!$D$17</f>
        <v>0</v>
      </c>
      <c r="F81" s="18">
        <f>EN_PF_YearZ!$D$18</f>
        <v>0</v>
      </c>
      <c r="G81" s="18">
        <f>EN_PF_YearZ!$D$19</f>
        <v>0</v>
      </c>
      <c r="H81" s="16">
        <f>EN_PF_YearZ!$D$20</f>
        <v>0</v>
      </c>
      <c r="I81" s="16">
        <f>EN_PF_YearZ!$D$20</f>
        <v>0</v>
      </c>
      <c r="J81" s="16" t="str">
        <f>EN_PF_YearZ!$J$13</f>
        <v/>
      </c>
      <c r="K81" s="16">
        <f>EN_PF_YearZ!$J$14</f>
        <v>0</v>
      </c>
      <c r="L81" s="16" t="str">
        <f>EN_PF_YearZ!$B$34</f>
        <v>Engagement</v>
      </c>
      <c r="M81" s="16" t="str">
        <f>EN_PF_YearZ!$C$41</f>
        <v>Coordinating Mechanism members (particularly CS members) carry out activities to solicit inputs from and provide feedback within their constituencies to contribute to sound decisions.</v>
      </c>
      <c r="N81" s="16" t="str">
        <f>EN_PF_QualitativeBaseline!$I$22</f>
        <v>2</v>
      </c>
      <c r="O81"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81" s="16">
        <f>EN_PF_QualitativeBaseline!$J$22</f>
        <v>0</v>
      </c>
      <c r="Q81" s="16" t="str">
        <f>EN_PF_YearZ!D41</f>
        <v>Do Coordinating Mechanism members actively seek inputs from and provide feedback to their constituencies (particularly CS members, on barriers to access quality services)? (ER 5L)</v>
      </c>
      <c r="R81" s="16">
        <f>EN_PF_YearZ!G41</f>
        <v>0</v>
      </c>
      <c r="S81" s="16" t="str">
        <f>EN_PF_YearZ!H41</f>
        <v/>
      </c>
      <c r="T81" s="16">
        <f>EN_PF_YearZ!I41</f>
        <v>0</v>
      </c>
      <c r="U81" s="16" t="str">
        <f>EN_PF_YearZ!J41</f>
        <v/>
      </c>
      <c r="V81" s="16" t="str">
        <f>EN_PF_YearZ!K41</f>
        <v/>
      </c>
      <c r="W81" s="16">
        <f>EN_PF_YearZ!L41</f>
        <v>0</v>
      </c>
      <c r="X81" s="16">
        <f>EN_PF_YearZ!M41</f>
        <v>0</v>
      </c>
    </row>
    <row r="82" spans="1:24" ht="15.75" thickBot="1" x14ac:dyDescent="0.3">
      <c r="A82" s="13">
        <v>17</v>
      </c>
      <c r="B82" s="16" t="str">
        <f>EN_PF_YearZ!$D$13</f>
        <v>CCM Lao PDR</v>
      </c>
      <c r="C82" s="16" t="str">
        <f>EN_PF_YearZ!$D$14</f>
        <v>Yes</v>
      </c>
      <c r="D82" s="16">
        <f>EN_PF_YearZ!$D$15</f>
        <v>0</v>
      </c>
      <c r="E82" s="16">
        <f>EN_PF_YearZ!$D$17</f>
        <v>0</v>
      </c>
      <c r="F82" s="18">
        <f>EN_PF_YearZ!$D$18</f>
        <v>0</v>
      </c>
      <c r="G82" s="18">
        <f>EN_PF_YearZ!$D$19</f>
        <v>0</v>
      </c>
      <c r="H82" s="16">
        <f>EN_PF_YearZ!$D$20</f>
        <v>0</v>
      </c>
      <c r="I82" s="16">
        <f>EN_PF_YearZ!$D$20</f>
        <v>0</v>
      </c>
      <c r="J82" s="16" t="str">
        <f>EN_PF_YearZ!$J$13</f>
        <v/>
      </c>
      <c r="K82" s="16">
        <f>EN_PF_YearZ!$J$14</f>
        <v>0</v>
      </c>
      <c r="L82" s="16" t="str">
        <f>EN_PF_YearZ!$B$34</f>
        <v>Engagement</v>
      </c>
      <c r="M82" s="16" t="str">
        <f>EN_PF_YearZ!$C$42</f>
        <v>Coordinating Mechanism representatives (particularly Civil Society members) engage in country processes on national response (e.g., National Strategic Planning, Program Reviews and Prioritization, Development Partner’s Country Operational Planning).</v>
      </c>
      <c r="N82" s="16" t="str">
        <f>EN_PF_QualitativeBaseline!$I$23</f>
        <v>0</v>
      </c>
      <c r="O82" s="16" t="str">
        <f>EN_PF_QualitativeBaseline!$H$20</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P82" s="16">
        <f>EN_PF_QualitativeBaseline!$J$23</f>
        <v>0</v>
      </c>
      <c r="Q82" s="16" t="str">
        <f>EN_PF_YearZ!D42</f>
        <v>Does the Coordinating Mechanism contribute to the development of the National Strategic Plan, including community-system strengthening?</v>
      </c>
      <c r="R82" s="16">
        <f>EN_PF_YearZ!G42</f>
        <v>0</v>
      </c>
      <c r="S82" s="16" t="str">
        <f>EN_PF_YearZ!H42</f>
        <v/>
      </c>
      <c r="T82" s="16">
        <f>EN_PF_YearZ!I42</f>
        <v>0</v>
      </c>
      <c r="U82" s="16" t="str">
        <f>EN_PF_YearZ!J42</f>
        <v/>
      </c>
      <c r="V82" s="16" t="str">
        <f>EN_PF_YearZ!K42</f>
        <v/>
      </c>
      <c r="W82" s="16">
        <f>EN_PF_YearZ!L42</f>
        <v>0</v>
      </c>
      <c r="X82" s="16">
        <f>EN_PF_YearZ!M42</f>
        <v>0</v>
      </c>
    </row>
    <row r="83" spans="1:24" ht="15.75" thickBot="1" x14ac:dyDescent="0.3">
      <c r="A83" s="13">
        <v>18</v>
      </c>
      <c r="B83" s="16" t="str">
        <f>EN_PF_YearZ!$D$13</f>
        <v>CCM Lao PDR</v>
      </c>
      <c r="C83" s="16" t="str">
        <f>EN_PF_YearZ!$D$14</f>
        <v>Yes</v>
      </c>
      <c r="D83" s="16">
        <f>EN_PF_YearZ!$D$15</f>
        <v>0</v>
      </c>
      <c r="E83" s="16">
        <f>EN_PF_YearZ!$D$17</f>
        <v>0</v>
      </c>
      <c r="F83" s="18">
        <f>EN_PF_YearZ!$D$18</f>
        <v>0</v>
      </c>
      <c r="G83" s="18">
        <f>EN_PF_YearZ!$D$19</f>
        <v>0</v>
      </c>
      <c r="H83" s="16">
        <f>EN_PF_YearZ!$D$20</f>
        <v>0</v>
      </c>
      <c r="I83" s="16">
        <f>EN_PF_YearZ!$D$20</f>
        <v>0</v>
      </c>
      <c r="J83" s="16" t="str">
        <f>EN_PF_YearZ!$J$13</f>
        <v/>
      </c>
      <c r="K83" s="16">
        <f>EN_PF_YearZ!$J$14</f>
        <v>0</v>
      </c>
      <c r="L83" s="16" t="str">
        <f>EN_PF_YearZ!$B$43</f>
        <v>Positioning</v>
      </c>
      <c r="M83" s="16" t="str">
        <f>EN_PF_YearZ!$C$43</f>
        <v>The Coordinating Mechanism proactively defines a “strategic positioning” vision to ensure alignment with and/or integration into national structures/coordinating bodies and formal links with donor partner platforms.</v>
      </c>
      <c r="N83" s="16" t="str">
        <f>EN_PF_QualitativeBaseline!$I$24</f>
        <v>1</v>
      </c>
      <c r="O83"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83" s="16">
        <f>EN_PF_QualitativeBaseline!$J$24</f>
        <v>0</v>
      </c>
      <c r="Q83" s="16" t="str">
        <f>EN_PF_YearZ!D43</f>
        <v>Does the Coordinating Mechanism know the health governance landscape they operate in?</v>
      </c>
      <c r="R83" s="16">
        <f>EN_PF_YearZ!G43</f>
        <v>0</v>
      </c>
      <c r="S83" s="16" t="str">
        <f>EN_PF_YearZ!H43</f>
        <v/>
      </c>
      <c r="T83" s="16">
        <f>EN_PF_YearZ!I43</f>
        <v>0</v>
      </c>
      <c r="U83" s="16" t="str">
        <f>EN_PF_YearZ!J43</f>
        <v/>
      </c>
      <c r="V83" s="16" t="str">
        <f>EN_PF_YearZ!K43</f>
        <v/>
      </c>
      <c r="W83" s="16">
        <f>EN_PF_YearZ!L43</f>
        <v>0</v>
      </c>
      <c r="X83" s="16">
        <f>EN_PF_YearZ!M43</f>
        <v>0</v>
      </c>
    </row>
    <row r="84" spans="1:24" ht="15.75" thickBot="1" x14ac:dyDescent="0.3">
      <c r="A84" s="13">
        <v>19</v>
      </c>
      <c r="B84" s="16" t="str">
        <f>EN_PF_YearZ!$D$13</f>
        <v>CCM Lao PDR</v>
      </c>
      <c r="C84" s="16" t="str">
        <f>EN_PF_YearZ!$D$14</f>
        <v>Yes</v>
      </c>
      <c r="D84" s="16">
        <f>EN_PF_YearZ!$D$15</f>
        <v>0</v>
      </c>
      <c r="E84" s="16">
        <f>EN_PF_YearZ!$D$17</f>
        <v>0</v>
      </c>
      <c r="F84" s="18">
        <f>EN_PF_YearZ!$D$18</f>
        <v>0</v>
      </c>
      <c r="G84" s="18">
        <f>EN_PF_YearZ!$D$19</f>
        <v>0</v>
      </c>
      <c r="H84" s="16">
        <f>EN_PF_YearZ!$D$20</f>
        <v>0</v>
      </c>
      <c r="I84" s="16">
        <f>EN_PF_YearZ!$D$20</f>
        <v>0</v>
      </c>
      <c r="J84" s="16" t="str">
        <f>EN_PF_YearZ!$J$13</f>
        <v/>
      </c>
      <c r="K84" s="16">
        <f>EN_PF_YearZ!$J$14</f>
        <v>0</v>
      </c>
      <c r="L84" s="16" t="str">
        <f>EN_PF_YearZ!$B$43</f>
        <v>Positioning</v>
      </c>
      <c r="M84" s="16" t="str">
        <f>EN_PF_YearZ!$C$43</f>
        <v>The Coordinating Mechanism proactively defines a “strategic positioning” vision to ensure alignment with and/or integration into national structures/coordinating bodies and formal links with donor partner platforms.</v>
      </c>
      <c r="N84" s="16" t="str">
        <f>EN_PF_QualitativeBaseline!$I$24</f>
        <v>1</v>
      </c>
      <c r="O84"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84" s="16">
        <f>EN_PF_QualitativeBaseline!$J$24</f>
        <v>0</v>
      </c>
      <c r="Q84" s="16" t="str">
        <f>EN_PF_YearZ!D44</f>
        <v>Does the Coordinating Mechanism have a Positioning plan?</v>
      </c>
      <c r="R84" s="16">
        <f>EN_PF_YearZ!G44</f>
        <v>0</v>
      </c>
      <c r="S84" s="16" t="str">
        <f>EN_PF_YearZ!H44</f>
        <v/>
      </c>
      <c r="T84" s="16">
        <f>EN_PF_YearZ!I44</f>
        <v>0</v>
      </c>
      <c r="U84" s="16" t="str">
        <f>EN_PF_YearZ!J44</f>
        <v/>
      </c>
      <c r="V84" s="16" t="str">
        <f>EN_PF_YearZ!K44</f>
        <v/>
      </c>
      <c r="W84" s="16">
        <f>EN_PF_YearZ!L44</f>
        <v>0</v>
      </c>
      <c r="X84" s="16">
        <f>EN_PF_YearZ!M44</f>
        <v>0</v>
      </c>
    </row>
    <row r="85" spans="1:24" ht="15.75" thickBot="1" x14ac:dyDescent="0.3">
      <c r="A85" s="13">
        <v>20</v>
      </c>
      <c r="B85" s="16" t="str">
        <f>EN_PF_YearZ!$D$13</f>
        <v>CCM Lao PDR</v>
      </c>
      <c r="C85" s="16" t="str">
        <f>EN_PF_YearZ!$D$14</f>
        <v>Yes</v>
      </c>
      <c r="D85" s="16">
        <f>EN_PF_YearZ!$D$15</f>
        <v>0</v>
      </c>
      <c r="E85" s="16">
        <f>EN_PF_YearZ!$D$17</f>
        <v>0</v>
      </c>
      <c r="F85" s="18">
        <f>EN_PF_YearZ!$D$18</f>
        <v>0</v>
      </c>
      <c r="G85" s="18">
        <f>EN_PF_YearZ!$D$19</f>
        <v>0</v>
      </c>
      <c r="H85" s="16">
        <f>EN_PF_YearZ!$D$20</f>
        <v>0</v>
      </c>
      <c r="I85" s="16">
        <f>EN_PF_YearZ!$D$20</f>
        <v>0</v>
      </c>
      <c r="J85" s="16" t="str">
        <f>EN_PF_YearZ!$J$13</f>
        <v/>
      </c>
      <c r="K85" s="16">
        <f>EN_PF_YearZ!$J$14</f>
        <v>0</v>
      </c>
      <c r="L85" s="16" t="str">
        <f>EN_PF_YearZ!$B$43</f>
        <v>Positioning</v>
      </c>
      <c r="M85" s="16" t="str">
        <f>EN_PF_YearZ!$C$45</f>
        <v>The Coordinating Mechanism ensures buy-in and ownership of the vision by all relevant stakeholders (particularly national government).</v>
      </c>
      <c r="N85" s="16" t="str">
        <f>EN_PF_QualitativeBaseline!$I$25</f>
        <v>1</v>
      </c>
      <c r="O85"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85" s="16">
        <f>EN_PF_QualitativeBaseline!$J$25</f>
        <v>0</v>
      </c>
      <c r="Q85" s="16" t="str">
        <f>EN_PF_YearZ!D45</f>
        <v>How strong are linkages between the Coordinating Mechanism and other health governance platforms?</v>
      </c>
      <c r="R85" s="16">
        <f>EN_PF_YearZ!G45</f>
        <v>0</v>
      </c>
      <c r="S85" s="16" t="str">
        <f>EN_PF_YearZ!H45</f>
        <v/>
      </c>
      <c r="T85" s="16">
        <f>EN_PF_YearZ!I45</f>
        <v>0</v>
      </c>
      <c r="U85" s="16" t="str">
        <f>EN_PF_YearZ!J45</f>
        <v/>
      </c>
      <c r="V85" s="16" t="str">
        <f>EN_PF_YearZ!K45</f>
        <v/>
      </c>
      <c r="W85" s="16">
        <f>EN_PF_YearZ!L45</f>
        <v>0</v>
      </c>
      <c r="X85" s="16">
        <f>EN_PF_YearZ!M45</f>
        <v>0</v>
      </c>
    </row>
    <row r="86" spans="1:24" ht="15.75" thickBot="1" x14ac:dyDescent="0.3">
      <c r="A86" s="13">
        <v>21</v>
      </c>
      <c r="B86" s="16" t="str">
        <f>EN_PF_YearZ!$D$13</f>
        <v>CCM Lao PDR</v>
      </c>
      <c r="C86" s="16" t="str">
        <f>EN_PF_YearZ!$D$14</f>
        <v>Yes</v>
      </c>
      <c r="D86" s="16">
        <f>EN_PF_YearZ!$D$15</f>
        <v>0</v>
      </c>
      <c r="E86" s="16">
        <f>EN_PF_YearZ!$D$17</f>
        <v>0</v>
      </c>
      <c r="F86" s="18">
        <f>EN_PF_YearZ!$D$18</f>
        <v>0</v>
      </c>
      <c r="G86" s="18">
        <f>EN_PF_YearZ!$D$19</f>
        <v>0</v>
      </c>
      <c r="H86" s="16">
        <f>EN_PF_YearZ!$D$20</f>
        <v>0</v>
      </c>
      <c r="I86" s="16">
        <f>EN_PF_YearZ!$D$20</f>
        <v>0</v>
      </c>
      <c r="J86" s="16" t="str">
        <f>EN_PF_YearZ!$J$13</f>
        <v/>
      </c>
      <c r="K86" s="16">
        <f>EN_PF_YearZ!$J$14</f>
        <v>0</v>
      </c>
      <c r="L86" s="16" t="str">
        <f>EN_PF_YearZ!$B$43</f>
        <v>Positioning</v>
      </c>
      <c r="M86" s="16" t="str">
        <f>EN_PF_YearZ!$C$46</f>
        <v>The Coordinating Mechanism aligns its functions and structures with the national response for enhanced harmonization of systems, processes and decision-making for greater impact and efficiencies.</v>
      </c>
      <c r="N86" s="16" t="str">
        <f>EN_PF_QualitativeBaseline!$I$26</f>
        <v>2</v>
      </c>
      <c r="O86"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86" s="16">
        <f>EN_PF_QualitativeBaseline!$J$26</f>
        <v>0</v>
      </c>
      <c r="Q86" s="16" t="str">
        <f>EN_PF_YearZ!D46</f>
        <v>How well is the Coordinating Mechanism integrated with the health governance of the country / region?</v>
      </c>
      <c r="R86" s="16">
        <f>EN_PF_YearZ!G46</f>
        <v>0</v>
      </c>
      <c r="S86" s="16" t="str">
        <f>EN_PF_YearZ!H46</f>
        <v/>
      </c>
      <c r="T86" s="16">
        <f>EN_PF_YearZ!I46</f>
        <v>0</v>
      </c>
      <c r="U86" s="16" t="str">
        <f>EN_PF_YearZ!J46</f>
        <v/>
      </c>
      <c r="V86" s="16" t="str">
        <f>EN_PF_YearZ!K46</f>
        <v/>
      </c>
      <c r="W86" s="16">
        <f>EN_PF_YearZ!L46</f>
        <v>0</v>
      </c>
      <c r="X86" s="16">
        <f>EN_PF_YearZ!M46</f>
        <v>0</v>
      </c>
    </row>
    <row r="87" spans="1:24" ht="15.75" thickBot="1" x14ac:dyDescent="0.3">
      <c r="A87" s="13">
        <v>22</v>
      </c>
      <c r="B87" s="16" t="str">
        <f>EN_PF_YearZ!$D$13</f>
        <v>CCM Lao PDR</v>
      </c>
      <c r="C87" s="16" t="str">
        <f>EN_PF_YearZ!$D$14</f>
        <v>Yes</v>
      </c>
      <c r="D87" s="16">
        <f>EN_PF_YearZ!$D$15</f>
        <v>0</v>
      </c>
      <c r="E87" s="16">
        <f>EN_PF_YearZ!$D$17</f>
        <v>0</v>
      </c>
      <c r="F87" s="18">
        <f>EN_PF_YearZ!$D$18</f>
        <v>0</v>
      </c>
      <c r="G87" s="18">
        <f>EN_PF_YearZ!$D$19</f>
        <v>0</v>
      </c>
      <c r="H87" s="16">
        <f>EN_PF_YearZ!$D$20</f>
        <v>0</v>
      </c>
      <c r="I87" s="16">
        <f>EN_PF_YearZ!$D$20</f>
        <v>0</v>
      </c>
      <c r="J87" s="16" t="str">
        <f>EN_PF_YearZ!$J$13</f>
        <v/>
      </c>
      <c r="K87" s="16">
        <f>EN_PF_YearZ!$J$14</f>
        <v>0</v>
      </c>
      <c r="L87" s="16" t="str">
        <f>EN_PF_YearZ!$B$43</f>
        <v>Positioning</v>
      </c>
      <c r="M87" s="16" t="str">
        <f>EN_PF_YearZ!$C$47</f>
        <v>Civil society members and communities are proactively represented and engaged in coordination, governance and decision-making bodies and processes beyond the Coordinating Mechanism.</v>
      </c>
      <c r="N87" s="16" t="str">
        <f>EN_PF_QualitativeBaseline!$I$27</f>
        <v>1</v>
      </c>
      <c r="O87" s="16" t="str">
        <f>EN_PF_QualitativeBaseline!$H$24</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P87" s="16">
        <f>EN_PF_QualitativeBaseline!$J$27</f>
        <v>0</v>
      </c>
      <c r="Q87" s="16" t="str">
        <f>EN_PF_YearZ!D47</f>
        <v>Is civil society engagement being institutionalised?</v>
      </c>
      <c r="R87" s="16">
        <f>EN_PF_YearZ!G47</f>
        <v>0</v>
      </c>
      <c r="S87" s="16" t="str">
        <f>EN_PF_YearZ!H47</f>
        <v/>
      </c>
      <c r="T87" s="16">
        <f>EN_PF_YearZ!I47</f>
        <v>0</v>
      </c>
      <c r="U87" s="16" t="str">
        <f>EN_PF_YearZ!J47</f>
        <v/>
      </c>
      <c r="V87" s="16" t="str">
        <f>EN_PF_YearZ!K47</f>
        <v/>
      </c>
      <c r="W87" s="16">
        <f>EN_PF_YearZ!L47</f>
        <v>0</v>
      </c>
      <c r="X87" s="16">
        <f>EN_PF_YearZ!M47</f>
        <v>0</v>
      </c>
    </row>
    <row r="88" spans="1:24" ht="15.75" thickBot="1" x14ac:dyDescent="0.3">
      <c r="A88" s="13">
        <v>23</v>
      </c>
      <c r="B88" s="16" t="str">
        <f>EN_PF_YearZ!$D$13</f>
        <v>CCM Lao PDR</v>
      </c>
      <c r="C88" s="16" t="str">
        <f>EN_PF_YearZ!$D$14</f>
        <v>Yes</v>
      </c>
      <c r="D88" s="16">
        <f>EN_PF_YearZ!$D$15</f>
        <v>0</v>
      </c>
      <c r="E88" s="16">
        <f>EN_PF_YearZ!$D$17</f>
        <v>0</v>
      </c>
      <c r="F88" s="18">
        <f>EN_PF_YearZ!$D$18</f>
        <v>0</v>
      </c>
      <c r="G88" s="18">
        <f>EN_PF_YearZ!$D$19</f>
        <v>0</v>
      </c>
      <c r="H88" s="16">
        <f>EN_PF_YearZ!$D$20</f>
        <v>0</v>
      </c>
      <c r="I88" s="16">
        <f>EN_PF_YearZ!$D$20</f>
        <v>0</v>
      </c>
      <c r="J88" s="16" t="str">
        <f>EN_PF_YearZ!$J$13</f>
        <v/>
      </c>
      <c r="K88" s="16">
        <f>EN_PF_YearZ!$J$14</f>
        <v>0</v>
      </c>
      <c r="L88" s="16" t="str">
        <f>EN_PF_YearZ!$B$48</f>
        <v>Operations</v>
      </c>
      <c r="M88" s="16" t="str">
        <f>EN_PF_YearZ!$C$48</f>
        <v xml:space="preserve">The Coordinating Mechanism ensures ethical decision-making processes are adopted and mainstreamed throughout its operations. </v>
      </c>
      <c r="N88" s="16" t="str">
        <f>EN_PF_QualitativeBaseline!$I$28</f>
        <v>2</v>
      </c>
      <c r="O88"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88" s="16">
        <f>EN_PF_QualitativeBaseline!$J$28</f>
        <v>0</v>
      </c>
      <c r="Q88" s="16" t="str">
        <f>EN_PF_YearZ!D48</f>
        <v>Does your Coordinating Mechanism have mechanisms to ensure ethical decision-making? (ER 6N, 6Q, 6R)</v>
      </c>
      <c r="R88" s="16">
        <f>EN_PF_YearZ!G48</f>
        <v>0</v>
      </c>
      <c r="S88" s="16" t="str">
        <f>EN_PF_YearZ!H48</f>
        <v/>
      </c>
      <c r="T88" s="16">
        <f>EN_PF_YearZ!I48</f>
        <v>0</v>
      </c>
      <c r="U88" s="16" t="str">
        <f>EN_PF_YearZ!J48</f>
        <v/>
      </c>
      <c r="V88" s="16" t="str">
        <f>EN_PF_YearZ!K48</f>
        <v/>
      </c>
      <c r="W88" s="16">
        <f>EN_PF_YearZ!L48</f>
        <v>0</v>
      </c>
      <c r="X88" s="16">
        <f>EN_PF_YearZ!M48</f>
        <v>0</v>
      </c>
    </row>
    <row r="89" spans="1:24" ht="15.75" thickBot="1" x14ac:dyDescent="0.3">
      <c r="A89" s="13">
        <v>24</v>
      </c>
      <c r="B89" s="16" t="str">
        <f>EN_PF_YearZ!$D$13</f>
        <v>CCM Lao PDR</v>
      </c>
      <c r="C89" s="16" t="str">
        <f>EN_PF_YearZ!$D$14</f>
        <v>Yes</v>
      </c>
      <c r="D89" s="16">
        <f>EN_PF_YearZ!$D$15</f>
        <v>0</v>
      </c>
      <c r="E89" s="16">
        <f>EN_PF_YearZ!$D$17</f>
        <v>0</v>
      </c>
      <c r="F89" s="18">
        <f>EN_PF_YearZ!$D$18</f>
        <v>0</v>
      </c>
      <c r="G89" s="18">
        <f>EN_PF_YearZ!$D$19</f>
        <v>0</v>
      </c>
      <c r="H89" s="16">
        <f>EN_PF_YearZ!$D$20</f>
        <v>0</v>
      </c>
      <c r="I89" s="16">
        <f>EN_PF_YearZ!$D$20</f>
        <v>0</v>
      </c>
      <c r="J89" s="16" t="str">
        <f>EN_PF_YearZ!$J$13</f>
        <v/>
      </c>
      <c r="K89" s="16">
        <f>EN_PF_YearZ!$J$14</f>
        <v>0</v>
      </c>
      <c r="L89" s="16" t="str">
        <f>EN_PF_YearZ!$B$48</f>
        <v>Operations</v>
      </c>
      <c r="M89" s="16" t="str">
        <f>EN_PF_YearZ!$C$48</f>
        <v xml:space="preserve">The Coordinating Mechanism ensures ethical decision-making processes are adopted and mainstreamed throughout its operations. </v>
      </c>
      <c r="N89" s="16" t="str">
        <f>EN_PF_QualitativeBaseline!$I$28</f>
        <v>2</v>
      </c>
      <c r="O89"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89" s="16">
        <f>EN_PF_QualitativeBaseline!$J$28</f>
        <v>0</v>
      </c>
      <c r="Q89" s="16" t="str">
        <f>EN_PF_YearZ!D49</f>
        <v>Does the Coordinating Mechanism follow procedures to prevent or mitigate conflicts of interest, for instance during the (PR) selection process? (ER 6O, 6P)</v>
      </c>
      <c r="R89" s="16">
        <f>EN_PF_YearZ!G49</f>
        <v>0</v>
      </c>
      <c r="S89" s="16" t="str">
        <f>EN_PF_YearZ!H49</f>
        <v/>
      </c>
      <c r="T89" s="16">
        <f>EN_PF_YearZ!I49</f>
        <v>0</v>
      </c>
      <c r="U89" s="16" t="str">
        <f>EN_PF_YearZ!J49</f>
        <v/>
      </c>
      <c r="V89" s="16" t="str">
        <f>EN_PF_YearZ!K49</f>
        <v/>
      </c>
      <c r="W89" s="16">
        <f>EN_PF_YearZ!L49</f>
        <v>0</v>
      </c>
      <c r="X89" s="16">
        <f>EN_PF_YearZ!M49</f>
        <v>0</v>
      </c>
    </row>
    <row r="90" spans="1:24" ht="15.75" thickBot="1" x14ac:dyDescent="0.3">
      <c r="A90" s="13">
        <v>25</v>
      </c>
      <c r="B90" s="16" t="str">
        <f>EN_PF_YearZ!$D$13</f>
        <v>CCM Lao PDR</v>
      </c>
      <c r="C90" s="16" t="str">
        <f>EN_PF_YearZ!$D$14</f>
        <v>Yes</v>
      </c>
      <c r="D90" s="16">
        <f>EN_PF_YearZ!$D$15</f>
        <v>0</v>
      </c>
      <c r="E90" s="16">
        <f>EN_PF_YearZ!$D$17</f>
        <v>0</v>
      </c>
      <c r="F90" s="18">
        <f>EN_PF_YearZ!$D$18</f>
        <v>0</v>
      </c>
      <c r="G90" s="18">
        <f>EN_PF_YearZ!$D$19</f>
        <v>0</v>
      </c>
      <c r="H90" s="16">
        <f>EN_PF_YearZ!$D$20</f>
        <v>0</v>
      </c>
      <c r="I90" s="16">
        <f>EN_PF_YearZ!$D$20</f>
        <v>0</v>
      </c>
      <c r="J90" s="16" t="str">
        <f>EN_PF_YearZ!$J$13</f>
        <v/>
      </c>
      <c r="K90" s="16">
        <f>EN_PF_YearZ!$J$14</f>
        <v>0</v>
      </c>
      <c r="L90" s="16" t="str">
        <f>EN_PF_YearZ!$B$48</f>
        <v>Operations</v>
      </c>
      <c r="M90" s="16" t="str">
        <f>EN_PF_YearZ!$C$48</f>
        <v xml:space="preserve">The Coordinating Mechanism ensures ethical decision-making processes are adopted and mainstreamed throughout its operations. </v>
      </c>
      <c r="N90" s="16" t="str">
        <f>EN_PF_QualitativeBaseline!$I$28</f>
        <v>2</v>
      </c>
      <c r="O90"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90" s="16">
        <f>EN_PF_QualitativeBaseline!$J$28</f>
        <v>0</v>
      </c>
      <c r="Q90" s="16" t="str">
        <f>EN_PF_YearZ!D50</f>
        <v>Does the Coordinating Mechanism respond to Ethical issues? (ER 6S)</v>
      </c>
      <c r="R90" s="16">
        <f>EN_PF_YearZ!G50</f>
        <v>0</v>
      </c>
      <c r="S90" s="16" t="str">
        <f>EN_PF_YearZ!H50</f>
        <v/>
      </c>
      <c r="T90" s="16">
        <f>EN_PF_YearZ!I50</f>
        <v>0</v>
      </c>
      <c r="U90" s="16" t="str">
        <f>EN_PF_YearZ!J50</f>
        <v/>
      </c>
      <c r="V90" s="16" t="str">
        <f>EN_PF_YearZ!K50</f>
        <v/>
      </c>
      <c r="W90" s="16">
        <f>EN_PF_YearZ!L50</f>
        <v>0</v>
      </c>
      <c r="X90" s="16">
        <f>EN_PF_YearZ!M50</f>
        <v>0</v>
      </c>
    </row>
    <row r="91" spans="1:24" ht="15.75" thickBot="1" x14ac:dyDescent="0.3">
      <c r="A91" s="13">
        <v>26</v>
      </c>
      <c r="B91" s="16" t="str">
        <f>EN_PF_YearZ!$D$13</f>
        <v>CCM Lao PDR</v>
      </c>
      <c r="C91" s="16" t="str">
        <f>EN_PF_YearZ!$D$14</f>
        <v>Yes</v>
      </c>
      <c r="D91" s="16">
        <f>EN_PF_YearZ!$D$15</f>
        <v>0</v>
      </c>
      <c r="E91" s="16">
        <f>EN_PF_YearZ!$D$17</f>
        <v>0</v>
      </c>
      <c r="F91" s="18">
        <f>EN_PF_YearZ!$D$18</f>
        <v>0</v>
      </c>
      <c r="G91" s="18">
        <f>EN_PF_YearZ!$D$19</f>
        <v>0</v>
      </c>
      <c r="H91" s="16">
        <f>EN_PF_YearZ!$D$20</f>
        <v>0</v>
      </c>
      <c r="I91" s="16">
        <f>EN_PF_YearZ!$D$20</f>
        <v>0</v>
      </c>
      <c r="J91" s="16" t="str">
        <f>EN_PF_YearZ!$J$13</f>
        <v/>
      </c>
      <c r="K91" s="16">
        <f>EN_PF_YearZ!$J$14</f>
        <v>0</v>
      </c>
      <c r="L91" s="16" t="str">
        <f>EN_PF_YearZ!$B$48</f>
        <v>Operations</v>
      </c>
      <c r="M91" s="16" t="str">
        <f>EN_PF_YearZ!$C$51</f>
        <v>The Coordinating Mechanism Secretariat provides effective administratve and  strategic support to the CM and its structures.</v>
      </c>
      <c r="N91" s="16" t="str">
        <f>EN_PF_QualitativeBaseline!$I$29</f>
        <v>2</v>
      </c>
      <c r="O91"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91" s="16">
        <f>EN_PF_QualitativeBaseline!$J$29</f>
        <v>0</v>
      </c>
      <c r="Q91" s="16" t="str">
        <f>EN_PF_YearZ!D51</f>
        <v>Does the CM Secretariat provide adequate information to Coordinating Mechanism members, to help them perform their role?</v>
      </c>
      <c r="R91" s="16">
        <f>EN_PF_YearZ!G51</f>
        <v>0</v>
      </c>
      <c r="S91" s="16" t="str">
        <f>EN_PF_YearZ!H51</f>
        <v/>
      </c>
      <c r="T91" s="16">
        <f>EN_PF_YearZ!I51</f>
        <v>0</v>
      </c>
      <c r="U91" s="16" t="str">
        <f>EN_PF_YearZ!J51</f>
        <v/>
      </c>
      <c r="V91" s="16" t="str">
        <f>EN_PF_YearZ!K51</f>
        <v/>
      </c>
      <c r="W91" s="16">
        <f>EN_PF_YearZ!L51</f>
        <v>0</v>
      </c>
      <c r="X91" s="16">
        <f>EN_PF_YearZ!M51</f>
        <v>0</v>
      </c>
    </row>
    <row r="92" spans="1:24" ht="15.75" thickBot="1" x14ac:dyDescent="0.3">
      <c r="A92" s="13">
        <v>27</v>
      </c>
      <c r="B92" s="16" t="str">
        <f>EN_PF_YearZ!$D$13</f>
        <v>CCM Lao PDR</v>
      </c>
      <c r="C92" s="16" t="str">
        <f>EN_PF_YearZ!$D$14</f>
        <v>Yes</v>
      </c>
      <c r="D92" s="16">
        <f>EN_PF_YearZ!$D$15</f>
        <v>0</v>
      </c>
      <c r="E92" s="16">
        <f>EN_PF_YearZ!$D$17</f>
        <v>0</v>
      </c>
      <c r="F92" s="18">
        <f>EN_PF_YearZ!$D$18</f>
        <v>0</v>
      </c>
      <c r="G92" s="18">
        <f>EN_PF_YearZ!$D$19</f>
        <v>0</v>
      </c>
      <c r="H92" s="16">
        <f>EN_PF_YearZ!$D$20</f>
        <v>0</v>
      </c>
      <c r="I92" s="16">
        <f>EN_PF_YearZ!$D$20</f>
        <v>0</v>
      </c>
      <c r="J92" s="16" t="str">
        <f>EN_PF_YearZ!$J$13</f>
        <v/>
      </c>
      <c r="K92" s="16">
        <f>EN_PF_YearZ!$J$14</f>
        <v>0</v>
      </c>
      <c r="L92" s="16" t="str">
        <f>EN_PF_YearZ!$B$48</f>
        <v>Operations</v>
      </c>
      <c r="M92" s="16" t="str">
        <f>EN_PF_YearZ!$C$51</f>
        <v>The Coordinating Mechanism Secretariat provides effective administratve and  strategic support to the CM and its structures.</v>
      </c>
      <c r="N92" s="16" t="str">
        <f>EN_PF_QualitativeBaseline!$I$29</f>
        <v>2</v>
      </c>
      <c r="O92"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92" s="16">
        <f>EN_PF_QualitativeBaseline!$J$29</f>
        <v>0</v>
      </c>
      <c r="Q92" s="16" t="str">
        <f>EN_PF_YearZ!D52</f>
        <v>Does the Leadership provide effective performance management of CM Secretariat staff?</v>
      </c>
      <c r="R92" s="16">
        <f>EN_PF_YearZ!G52</f>
        <v>0</v>
      </c>
      <c r="S92" s="16" t="str">
        <f>EN_PF_YearZ!H52</f>
        <v/>
      </c>
      <c r="T92" s="16">
        <f>EN_PF_YearZ!I52</f>
        <v>0</v>
      </c>
      <c r="U92" s="16" t="str">
        <f>EN_PF_YearZ!J52</f>
        <v/>
      </c>
      <c r="V92" s="16" t="str">
        <f>EN_PF_YearZ!K52</f>
        <v/>
      </c>
      <c r="W92" s="16">
        <f>EN_PF_YearZ!L52</f>
        <v>0</v>
      </c>
      <c r="X92" s="16">
        <f>EN_PF_YearZ!M52</f>
        <v>0</v>
      </c>
    </row>
    <row r="93" spans="1:24" ht="15.75" thickBot="1" x14ac:dyDescent="0.3">
      <c r="A93" s="13">
        <v>28</v>
      </c>
      <c r="B93" s="16" t="str">
        <f>EN_PF_YearZ!$D$13</f>
        <v>CCM Lao PDR</v>
      </c>
      <c r="C93" s="16" t="str">
        <f>EN_PF_YearZ!$D$14</f>
        <v>Yes</v>
      </c>
      <c r="D93" s="16">
        <f>EN_PF_YearZ!$D$15</f>
        <v>0</v>
      </c>
      <c r="E93" s="16">
        <f>EN_PF_YearZ!$D$17</f>
        <v>0</v>
      </c>
      <c r="F93" s="18">
        <f>EN_PF_YearZ!$D$18</f>
        <v>0</v>
      </c>
      <c r="G93" s="18">
        <f>EN_PF_YearZ!$D$19</f>
        <v>0</v>
      </c>
      <c r="H93" s="16">
        <f>EN_PF_YearZ!$D$20</f>
        <v>0</v>
      </c>
      <c r="I93" s="16">
        <f>EN_PF_YearZ!$D$20</f>
        <v>0</v>
      </c>
      <c r="J93" s="16" t="str">
        <f>EN_PF_YearZ!$J$13</f>
        <v/>
      </c>
      <c r="K93" s="16">
        <f>EN_PF_YearZ!$J$14</f>
        <v>0</v>
      </c>
      <c r="L93" s="16" t="str">
        <f>EN_PF_YearZ!$B$48</f>
        <v>Operations</v>
      </c>
      <c r="M93" s="16" t="str">
        <f>EN_PF_YearZ!$C$51</f>
        <v>The Coordinating Mechanism Secretariat provides effective administratve and  strategic support to the CM and its structures.</v>
      </c>
      <c r="N93" s="16" t="str">
        <f>EN_PF_QualitativeBaseline!$I$29</f>
        <v>2</v>
      </c>
      <c r="O93"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93" s="16">
        <f>EN_PF_QualitativeBaseline!$J$29</f>
        <v>0</v>
      </c>
      <c r="Q93" s="16" t="str">
        <f>EN_PF_YearZ!D53</f>
        <v>Does the CM Secretariat ensure effective management of the Coordinating Mechanism's resources?</v>
      </c>
      <c r="R93" s="16">
        <f>EN_PF_YearZ!G53</f>
        <v>0</v>
      </c>
      <c r="S93" s="16" t="str">
        <f>EN_PF_YearZ!H53</f>
        <v/>
      </c>
      <c r="T93" s="16">
        <f>EN_PF_YearZ!I53</f>
        <v>0</v>
      </c>
      <c r="U93" s="16" t="str">
        <f>EN_PF_YearZ!J53</f>
        <v/>
      </c>
      <c r="V93" s="16" t="str">
        <f>EN_PF_YearZ!K53</f>
        <v/>
      </c>
      <c r="W93" s="16">
        <f>EN_PF_YearZ!L53</f>
        <v>0</v>
      </c>
      <c r="X93" s="16">
        <f>EN_PF_YearZ!M53</f>
        <v>0</v>
      </c>
    </row>
    <row r="94" spans="1:24" ht="15.75" thickBot="1" x14ac:dyDescent="0.3">
      <c r="A94" s="13">
        <v>29</v>
      </c>
      <c r="B94" s="16" t="str">
        <f>EN_PF_YearZ!$D$13</f>
        <v>CCM Lao PDR</v>
      </c>
      <c r="C94" s="16" t="str">
        <f>EN_PF_YearZ!$D$14</f>
        <v>Yes</v>
      </c>
      <c r="D94" s="16">
        <f>EN_PF_YearZ!$D$15</f>
        <v>0</v>
      </c>
      <c r="E94" s="16">
        <f>EN_PF_YearZ!$D$17</f>
        <v>0</v>
      </c>
      <c r="F94" s="18">
        <f>EN_PF_YearZ!$D$18</f>
        <v>0</v>
      </c>
      <c r="G94" s="18">
        <f>EN_PF_YearZ!$D$19</f>
        <v>0</v>
      </c>
      <c r="H94" s="16">
        <f>EN_PF_YearZ!$D$20</f>
        <v>0</v>
      </c>
      <c r="I94" s="16">
        <f>EN_PF_YearZ!$D$20</f>
        <v>0</v>
      </c>
      <c r="J94" s="16" t="str">
        <f>EN_PF_YearZ!$J$13</f>
        <v/>
      </c>
      <c r="K94" s="16">
        <f>EN_PF_YearZ!$J$14</f>
        <v>0</v>
      </c>
      <c r="L94" s="16" t="str">
        <f>EN_PF_YearZ!$B$48</f>
        <v>Operations</v>
      </c>
      <c r="M94" s="16" t="str">
        <f>EN_PF_YearZ!$C$54</f>
        <v xml:space="preserve">The Coordinating Mechanism has appropriate and relevant structures in place, which operate optimally and efficiently. </v>
      </c>
      <c r="N94" s="16" t="str">
        <f>EN_PF_QualitativeBaseline!$I$30</f>
        <v>2</v>
      </c>
      <c r="O94"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94" s="16">
        <f>EN_PF_QualitativeBaseline!$J$30</f>
        <v>0</v>
      </c>
      <c r="Q94" s="16" t="str">
        <f>EN_PF_YearZ!D54</f>
        <v>Are Coordinating Mechanism members prepared to take on their role?</v>
      </c>
      <c r="R94" s="16">
        <f>EN_PF_YearZ!G54</f>
        <v>0</v>
      </c>
      <c r="S94" s="16" t="str">
        <f>EN_PF_YearZ!H54</f>
        <v/>
      </c>
      <c r="T94" s="16">
        <f>EN_PF_YearZ!I54</f>
        <v>0</v>
      </c>
      <c r="U94" s="16" t="str">
        <f>EN_PF_YearZ!J54</f>
        <v/>
      </c>
      <c r="V94" s="16" t="str">
        <f>EN_PF_YearZ!K54</f>
        <v/>
      </c>
      <c r="W94" s="16">
        <f>EN_PF_YearZ!L54</f>
        <v>0</v>
      </c>
      <c r="X94" s="16">
        <f>EN_PF_YearZ!M54</f>
        <v>0</v>
      </c>
    </row>
    <row r="95" spans="1:24" ht="15.75" thickBot="1" x14ac:dyDescent="0.3">
      <c r="A95" s="13">
        <v>30</v>
      </c>
      <c r="B95" s="16" t="str">
        <f>EN_PF_YearZ!$D$13</f>
        <v>CCM Lao PDR</v>
      </c>
      <c r="C95" s="16" t="str">
        <f>EN_PF_YearZ!$D$14</f>
        <v>Yes</v>
      </c>
      <c r="D95" s="16">
        <f>EN_PF_YearZ!$D$15</f>
        <v>0</v>
      </c>
      <c r="E95" s="16">
        <f>EN_PF_YearZ!$D$17</f>
        <v>0</v>
      </c>
      <c r="F95" s="18">
        <f>EN_PF_YearZ!$D$18</f>
        <v>0</v>
      </c>
      <c r="G95" s="18">
        <f>EN_PF_YearZ!$D$19</f>
        <v>0</v>
      </c>
      <c r="H95" s="16">
        <f>EN_PF_YearZ!$D$20</f>
        <v>0</v>
      </c>
      <c r="I95" s="16">
        <f>EN_PF_YearZ!$D$20</f>
        <v>0</v>
      </c>
      <c r="J95" s="16" t="str">
        <f>EN_PF_YearZ!$J$13</f>
        <v/>
      </c>
      <c r="K95" s="16">
        <f>EN_PF_YearZ!$J$14</f>
        <v>0</v>
      </c>
      <c r="L95" s="16" t="str">
        <f>EN_PF_YearZ!$B$48</f>
        <v>Operations</v>
      </c>
      <c r="M95" s="16" t="str">
        <f>EN_PF_YearZ!$C$54</f>
        <v xml:space="preserve">The Coordinating Mechanism has appropriate and relevant structures in place, which operate optimally and efficiently. </v>
      </c>
      <c r="N95" s="16" t="str">
        <f>EN_PF_QualitativeBaseline!$I$30</f>
        <v>2</v>
      </c>
      <c r="O95"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95" s="16">
        <f>EN_PF_QualitativeBaseline!$J$30</f>
        <v>0</v>
      </c>
      <c r="Q95" s="16" t="str">
        <f>EN_PF_YearZ!D55</f>
        <v xml:space="preserve">Does the Coordinating Mechanism regularly review its structure and associated governance documents to ensure relevance? 
Open seats to be assigned every cycle to an emerging targeted group or technical partner are encouraged. </v>
      </c>
      <c r="R95" s="16">
        <f>EN_PF_YearZ!G55</f>
        <v>0</v>
      </c>
      <c r="S95" s="16" t="str">
        <f>EN_PF_YearZ!H55</f>
        <v/>
      </c>
      <c r="T95" s="16">
        <f>EN_PF_YearZ!I55</f>
        <v>0</v>
      </c>
      <c r="U95" s="16" t="str">
        <f>EN_PF_YearZ!J55</f>
        <v/>
      </c>
      <c r="V95" s="16" t="str">
        <f>EN_PF_YearZ!K55</f>
        <v/>
      </c>
      <c r="W95" s="16">
        <f>EN_PF_YearZ!L55</f>
        <v>0</v>
      </c>
      <c r="X95" s="16">
        <f>EN_PF_YearZ!M55</f>
        <v>0</v>
      </c>
    </row>
    <row r="96" spans="1:24" ht="15.75" thickBot="1" x14ac:dyDescent="0.3">
      <c r="A96" s="13">
        <v>31</v>
      </c>
      <c r="B96" s="16" t="str">
        <f>EN_PF_YearZ!$D$13</f>
        <v>CCM Lao PDR</v>
      </c>
      <c r="C96" s="16" t="str">
        <f>EN_PF_YearZ!$D$14</f>
        <v>Yes</v>
      </c>
      <c r="D96" s="16">
        <f>EN_PF_YearZ!$D$15</f>
        <v>0</v>
      </c>
      <c r="E96" s="16">
        <f>EN_PF_YearZ!$D$17</f>
        <v>0</v>
      </c>
      <c r="F96" s="18">
        <f>EN_PF_YearZ!$D$18</f>
        <v>0</v>
      </c>
      <c r="G96" s="18">
        <f>EN_PF_YearZ!$D$19</f>
        <v>0</v>
      </c>
      <c r="H96" s="16">
        <f>EN_PF_YearZ!$D$20</f>
        <v>0</v>
      </c>
      <c r="I96" s="16">
        <f>EN_PF_YearZ!$D$20</f>
        <v>0</v>
      </c>
      <c r="J96" s="16" t="str">
        <f>EN_PF_YearZ!$J$13</f>
        <v/>
      </c>
      <c r="K96" s="16">
        <f>EN_PF_YearZ!$J$14</f>
        <v>0</v>
      </c>
      <c r="L96" s="16" t="str">
        <f>EN_PF_YearZ!$B$48</f>
        <v>Operations</v>
      </c>
      <c r="M96" s="16" t="str">
        <f>EN_PF_YearZ!$C$56</f>
        <v>Coordinating Mechanism’s operations are effectively managed.</v>
      </c>
      <c r="N96" s="16" t="str">
        <f>EN_PF_QualitativeBaseline!$I$31</f>
        <v>3</v>
      </c>
      <c r="O96" s="16" t="str">
        <f>EN_PF_QualitativeBaseline!$H$28</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P96" s="16">
        <f>EN_PF_QualitativeBaseline!$J$31</f>
        <v>0</v>
      </c>
      <c r="Q96" s="16" t="str">
        <f>EN_PF_YearZ!D56</f>
        <v>Does the Coordinating Mechanism perform its core functions?</v>
      </c>
      <c r="R96" s="16">
        <f>EN_PF_YearZ!G56</f>
        <v>0</v>
      </c>
      <c r="S96" s="16" t="str">
        <f>EN_PF_YearZ!H56</f>
        <v/>
      </c>
      <c r="T96" s="16">
        <f>EN_PF_YearZ!I56</f>
        <v>0</v>
      </c>
      <c r="U96" s="16" t="str">
        <f>EN_PF_YearZ!J56</f>
        <v/>
      </c>
      <c r="V96" s="16" t="str">
        <f>EN_PF_YearZ!K56</f>
        <v/>
      </c>
      <c r="W96" s="16">
        <f>EN_PF_YearZ!L56</f>
        <v>0</v>
      </c>
      <c r="X96" s="16">
        <f>EN_PF_YearZ!M56</f>
        <v>0</v>
      </c>
    </row>
  </sheetData>
  <sheetProtection algorithmName="SHA-512" hashValue="oqpqiCRd9zibMTel1QGN9Azi8ZYPXa0zvJL9E5F598BEjt9TcPIHPt9nNlZddEg6jRF5lkhOjsLeb3o6oqjvEQ==" saltValue="DCyz59ZQ6IX0klKYeHoV3A==" spinCount="100000" sheet="1" objects="1" scenarios="1"/>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0F545-C62D-4A65-9A85-4D0F53DC548F}">
  <sheetPr codeName="Sheet10"/>
  <dimension ref="A1:O12"/>
  <sheetViews>
    <sheetView workbookViewId="0">
      <selection activeCell="L9" sqref="L9"/>
    </sheetView>
  </sheetViews>
  <sheetFormatPr defaultColWidth="8.625" defaultRowHeight="15" x14ac:dyDescent="0.25"/>
  <cols>
    <col min="1" max="1" width="8.625" style="15"/>
    <col min="2" max="15" width="10.625" style="17" customWidth="1"/>
    <col min="16" max="16384" width="8.625" style="17"/>
  </cols>
  <sheetData>
    <row r="1" spans="1:15" s="15" customFormat="1" ht="15.75" thickBot="1" x14ac:dyDescent="0.3">
      <c r="A1" s="13"/>
      <c r="B1" s="13" t="s">
        <v>215</v>
      </c>
      <c r="C1" s="13" t="s">
        <v>442</v>
      </c>
      <c r="D1" s="13" t="s">
        <v>443</v>
      </c>
      <c r="E1" s="13" t="s">
        <v>439</v>
      </c>
      <c r="F1" s="13" t="s">
        <v>451</v>
      </c>
      <c r="G1" s="13" t="s">
        <v>452</v>
      </c>
      <c r="H1" s="69" t="s">
        <v>409</v>
      </c>
      <c r="I1" s="13" t="str">
        <f>Progress_Results_Strategy!C11</f>
        <v>Performance Objective</v>
      </c>
      <c r="J1" s="13" t="str">
        <f>Progress_Results_Strategy!D11</f>
        <v>Year 1</v>
      </c>
      <c r="K1" s="13" t="str">
        <f>Progress_Results_Strategy!E11</f>
        <v>Year 2</v>
      </c>
      <c r="L1" s="13" t="str">
        <f>Progress_Results_Strategy!F11</f>
        <v>Year 3</v>
      </c>
      <c r="M1" s="13" t="str">
        <f>Progress_Results_Strategy!H11</f>
        <v>Year 1</v>
      </c>
      <c r="N1" s="13" t="str">
        <f>Progress_Results_Strategy!I11</f>
        <v>Year 2</v>
      </c>
      <c r="O1" s="13" t="str">
        <f>Progress_Results_Strategy!J11</f>
        <v>Year 3</v>
      </c>
    </row>
    <row r="2" spans="1:15" ht="15.75" thickBot="1" x14ac:dyDescent="0.3">
      <c r="A2" s="13">
        <v>1</v>
      </c>
      <c r="B2" s="16" t="str" cm="1">
        <f t="array" ref="B2">_xlfn.IFS(EN_PF_Year3!$D$13&lt;&gt;"", EN_PF_Year3!$D$13, AND(EN_PF_Year3!$D$13="", EN_PF_YearY!$D$13&lt;&gt;""), EN_PF_YearY!$D$13, AND(EN_PF_YearY!$D$13="", EN_PF_YearZ!$D$13&lt;&gt;""), EN_PF_YearZ!$D$13, AND(EN_PF_Year3!$D$13="", EN_PF_YearY!$D$13="", EN_PF_YearZ!$D$13=""), "")</f>
        <v>CCM Lao PDR</v>
      </c>
      <c r="C2" s="16" t="str" cm="1">
        <f t="array" ref="C2">_xlfn.IFS(EN_PF_Year3!$D$14&lt;&gt;"", EN_PF_Year3!$D$14, AND(EN_PF_Year3!$D$14="", EN_PF_YearY!$D$14&lt;&gt;""), EN_PF_YearY!$D$14, AND(EN_PF_YearY!$D$14="", EN_PF_YearZ!$D$14&lt;&gt;""), EN_PF_YearZ!$D$14, AND(EN_PF_Year3!$D$14="", EN_PF_YearY!$D$14="", EN_PF_YearZ!$D$14=""), "")</f>
        <v>Yes</v>
      </c>
      <c r="D2" s="16" t="str" cm="1">
        <f t="array" ref="D2">_xlfn.IFS(EN_PF_Year3!$D$15&lt;&gt;"", EN_PF_Year3!$D$15, AND(EN_PF_Year3!$D$15="", EN_PF_YearY!$D$15&lt;&gt;""), EN_PF_YearY!$D$15, AND(EN_PF_YearY!$D$15="", EN_PF_YearZ!$D$15&lt;&gt;""), EN_PF_YearZ!$D$15, AND(EN_PF_Year3!$D$15="", EN_PF_YearY!$D$15="", EN_PF_YearZ!$D$13=""), "")</f>
        <v>Yes</v>
      </c>
      <c r="E2" s="16" t="str" cm="1">
        <f t="array" ref="E2">_xlfn.IFS(EN_PF_Year3!$D$17&lt;&gt;"", EN_PF_Year3!$D$17, AND(EN_PF_Year3!$D$13="", EN_PF_YearY!$D$17&lt;&gt;""), EN_PF_YearY!$D$17, AND(EN_PF_YearY!$D$17="", EN_PF_YearZ!$D$17&lt;&gt;""), EN_PF_YearZ!$D$17, AND(EN_PF_Year3!$D$17="", EN_PF_YearY!$D$17="", EN_PF_YearZ!$D$17=""), "")</f>
        <v>LAO-CFUND-1906</v>
      </c>
      <c r="F2" s="18" cm="1">
        <f t="array" ref="F2">_xlfn.IFS(EN_PF_Year3!$D$18&lt;&gt;"", EN_PF_Year3!$D$18, AND(EN_PF_Year3!$D$18="", EN_PF_YearY!$D$18&lt;&gt;""), EN_PF_YearY!$D$18, AND(EN_PF_YearY!$D$18="", EN_PF_YearZ!$D$18&lt;&gt;""), EN_PF_YearZ!$D$18, AND(EN_PF_Year3!$D$18="", EN_PF_YearY!$D$18="", EN_PF_YearZ!$D$18=""), "")</f>
        <v>43739</v>
      </c>
      <c r="G2" s="18" cm="1">
        <f t="array" ref="G2">_xlfn.IFS(EN_PF_Year3!$D$19&lt;&gt;"", EN_PF_Year3!$D$19, AND(EN_PF_Year3!$D$19="", EN_PF_YearY!$D$19&lt;&gt;""), EN_PF_YearY!$D$19, AND(EN_PF_YearY!$D$19="", EN_PF_YearZ!$D$19&lt;&gt;""), EN_PF_YearZ!$D$19, AND(EN_PF_Year3!$D$19="", EN_PF_YearY!$D$19="", EN_PF_YearZ!$D$19=""), "")</f>
        <v>44926</v>
      </c>
      <c r="H2" s="16" t="str">
        <f>Progress_Results_Strategy!$B$12</f>
        <v>Increase representation or influence of specific groups</v>
      </c>
      <c r="I2" s="16" t="str">
        <f>Progress_Results_Strategy!C12</f>
        <v>Are key affected and most at risk groups represented in the Coordinating Mechanism?
[Engagement]</v>
      </c>
      <c r="J2" s="16" t="str">
        <f>Progress_Results_Strategy!D12</f>
        <v/>
      </c>
      <c r="K2" s="16" t="str">
        <f>Progress_Results_Strategy!E12</f>
        <v/>
      </c>
      <c r="L2" s="16" t="str">
        <f>Progress_Results_Strategy!F12</f>
        <v/>
      </c>
      <c r="M2" s="20" t="str">
        <f>Progress_Results_Strategy!H12</f>
        <v/>
      </c>
      <c r="N2" s="20" t="str">
        <f>Progress_Results_Strategy!I12</f>
        <v/>
      </c>
      <c r="O2" s="20" t="str">
        <f>Progress_Results_Strategy!J12</f>
        <v/>
      </c>
    </row>
    <row r="3" spans="1:15" ht="15.75" thickBot="1" x14ac:dyDescent="0.3">
      <c r="A3" s="13">
        <v>2</v>
      </c>
      <c r="B3" s="16" t="str" cm="1">
        <f t="array" ref="B3">_xlfn.IFS(EN_PF_Year3!$D$13&lt;&gt;"", EN_PF_Year3!$D$13, AND(EN_PF_Year3!$D$13="", EN_PF_YearY!$D$13&lt;&gt;""), EN_PF_YearY!$D$13, AND(EN_PF_YearY!$D$13="", EN_PF_YearZ!$D$13&lt;&gt;""), EN_PF_YearZ!$D$13, AND(EN_PF_Year3!$D$13="", EN_PF_YearY!$D$13="", EN_PF_YearZ!$D$13=""), "")</f>
        <v>CCM Lao PDR</v>
      </c>
      <c r="C3" s="16" t="str" cm="1">
        <f t="array" ref="C3">_xlfn.IFS(EN_PF_Year3!$D$14&lt;&gt;"", EN_PF_Year3!$D$14, AND(EN_PF_Year3!$D$14="", EN_PF_YearY!$D$14&lt;&gt;""), EN_PF_YearY!$D$14, AND(EN_PF_YearY!$D$14="", EN_PF_YearZ!$D$14&lt;&gt;""), EN_PF_YearZ!$D$14, AND(EN_PF_Year3!$D$14="", EN_PF_YearY!$D$14="", EN_PF_YearZ!$D$14=""), "")</f>
        <v>Yes</v>
      </c>
      <c r="D3" s="16" t="str" cm="1">
        <f t="array" ref="D3">_xlfn.IFS(EN_PF_Year3!$D$15&lt;&gt;"", EN_PF_Year3!$D$15, AND(EN_PF_Year3!$D$15="", EN_PF_YearY!$D$15&lt;&gt;""), EN_PF_YearY!$D$15, AND(EN_PF_YearY!$D$15="", EN_PF_YearZ!$D$15&lt;&gt;""), EN_PF_YearZ!$D$15, AND(EN_PF_Year3!$D$15="", EN_PF_YearY!$D$15="", EN_PF_YearZ!$D$13=""), "")</f>
        <v>Yes</v>
      </c>
      <c r="E3" s="16" t="str" cm="1">
        <f t="array" ref="E3">_xlfn.IFS(EN_PF_Year3!$D$17&lt;&gt;"", EN_PF_Year3!$D$17, AND(EN_PF_Year3!$D$13="", EN_PF_YearY!$D$17&lt;&gt;""), EN_PF_YearY!$D$17, AND(EN_PF_YearY!$D$17="", EN_PF_YearZ!$D$17&lt;&gt;""), EN_PF_YearZ!$D$17, AND(EN_PF_Year3!$D$17="", EN_PF_YearY!$D$17="", EN_PF_YearZ!$D$17=""), "")</f>
        <v>LAO-CFUND-1906</v>
      </c>
      <c r="F3" s="18" cm="1">
        <f t="array" ref="F3">_xlfn.IFS(EN_PF_Year3!$D$18&lt;&gt;"", EN_PF_Year3!$D$18, AND(EN_PF_Year3!$D$18="", EN_PF_YearY!$D$18&lt;&gt;""), EN_PF_YearY!$D$18, AND(EN_PF_YearY!$D$18="", EN_PF_YearZ!$D$18&lt;&gt;""), EN_PF_YearZ!$D$18, AND(EN_PF_Year3!$D$18="", EN_PF_YearY!$D$18="", EN_PF_YearZ!$D$18=""), "")</f>
        <v>43739</v>
      </c>
      <c r="G3" s="18" cm="1">
        <f t="array" ref="G3">_xlfn.IFS(EN_PF_Year3!$D$19&lt;&gt;"", EN_PF_Year3!$D$19, AND(EN_PF_Year3!$D$19="", EN_PF_YearY!$D$19&lt;&gt;""), EN_PF_YearY!$D$19, AND(EN_PF_YearY!$D$19="", EN_PF_YearZ!$D$19&lt;&gt;""), EN_PF_YearZ!$D$19, AND(EN_PF_Year3!$D$19="", EN_PF_YearY!$D$19="", EN_PF_YearZ!$D$19=""), "")</f>
        <v>44926</v>
      </c>
      <c r="H3" s="16" t="str">
        <f>Progress_Results_Strategy!$B$12</f>
        <v>Increase representation or influence of specific groups</v>
      </c>
      <c r="I3" s="16" t="str">
        <f>Progress_Results_Strategy!C13</f>
        <v>Are the relevant ministries in the fight against the diseases represented in the Coordinating Mechanism, in line with the epidemiological context of the country?
[Engagement]</v>
      </c>
      <c r="J3" s="16" t="str">
        <f>Progress_Results_Strategy!D13</f>
        <v/>
      </c>
      <c r="K3" s="16" t="str">
        <f>Progress_Results_Strategy!E13</f>
        <v/>
      </c>
      <c r="L3" s="16" t="str">
        <f>Progress_Results_Strategy!F13</f>
        <v/>
      </c>
      <c r="M3" s="20">
        <f>Progress_Results_Strategy!H13</f>
        <v>0</v>
      </c>
      <c r="N3" s="20">
        <f>Progress_Results_Strategy!I13</f>
        <v>0</v>
      </c>
      <c r="O3" s="20">
        <f>Progress_Results_Strategy!J13</f>
        <v>0</v>
      </c>
    </row>
    <row r="4" spans="1:15" ht="15.75" thickBot="1" x14ac:dyDescent="0.3">
      <c r="A4" s="13">
        <v>3</v>
      </c>
      <c r="B4" s="16" t="str" cm="1">
        <f t="array" ref="B4">_xlfn.IFS(EN_PF_Year3!$D$13&lt;&gt;"", EN_PF_Year3!$D$13, AND(EN_PF_Year3!$D$13="", EN_PF_YearY!$D$13&lt;&gt;""), EN_PF_YearY!$D$13, AND(EN_PF_YearY!$D$13="", EN_PF_YearZ!$D$13&lt;&gt;""), EN_PF_YearZ!$D$13, AND(EN_PF_Year3!$D$13="", EN_PF_YearY!$D$13="", EN_PF_YearZ!$D$13=""), "")</f>
        <v>CCM Lao PDR</v>
      </c>
      <c r="C4" s="16" t="str" cm="1">
        <f t="array" ref="C4">_xlfn.IFS(EN_PF_Year3!$D$14&lt;&gt;"", EN_PF_Year3!$D$14, AND(EN_PF_Year3!$D$14="", EN_PF_YearY!$D$14&lt;&gt;""), EN_PF_YearY!$D$14, AND(EN_PF_YearY!$D$14="", EN_PF_YearZ!$D$14&lt;&gt;""), EN_PF_YearZ!$D$14, AND(EN_PF_Year3!$D$14="", EN_PF_YearY!$D$14="", EN_PF_YearZ!$D$14=""), "")</f>
        <v>Yes</v>
      </c>
      <c r="D4" s="16" t="str" cm="1">
        <f t="array" ref="D4">_xlfn.IFS(EN_PF_Year3!$D$15&lt;&gt;"", EN_PF_Year3!$D$15, AND(EN_PF_Year3!$D$15="", EN_PF_YearY!$D$15&lt;&gt;""), EN_PF_YearY!$D$15, AND(EN_PF_YearY!$D$15="", EN_PF_YearZ!$D$15&lt;&gt;""), EN_PF_YearZ!$D$15, AND(EN_PF_Year3!$D$15="", EN_PF_YearY!$D$15="", EN_PF_YearZ!$D$13=""), "")</f>
        <v>Yes</v>
      </c>
      <c r="E4" s="16" t="str" cm="1">
        <f t="array" ref="E4">_xlfn.IFS(EN_PF_Year3!$D$17&lt;&gt;"", EN_PF_Year3!$D$17, AND(EN_PF_Year3!$D$13="", EN_PF_YearY!$D$17&lt;&gt;""), EN_PF_YearY!$D$17, AND(EN_PF_YearY!$D$17="", EN_PF_YearZ!$D$17&lt;&gt;""), EN_PF_YearZ!$D$17, AND(EN_PF_Year3!$D$17="", EN_PF_YearY!$D$17="", EN_PF_YearZ!$D$17=""), "")</f>
        <v>LAO-CFUND-1906</v>
      </c>
      <c r="F4" s="18" cm="1">
        <f t="array" ref="F4">_xlfn.IFS(EN_PF_Year3!$D$18&lt;&gt;"", EN_PF_Year3!$D$18, AND(EN_PF_Year3!$D$18="", EN_PF_YearY!$D$18&lt;&gt;""), EN_PF_YearY!$D$18, AND(EN_PF_YearY!$D$18="", EN_PF_YearZ!$D$18&lt;&gt;""), EN_PF_YearZ!$D$18, AND(EN_PF_Year3!$D$18="", EN_PF_YearY!$D$18="", EN_PF_YearZ!$D$18=""), "")</f>
        <v>43739</v>
      </c>
      <c r="G4" s="18" cm="1">
        <f t="array" ref="G4">_xlfn.IFS(EN_PF_Year3!$D$19&lt;&gt;"", EN_PF_Year3!$D$19, AND(EN_PF_Year3!$D$19="", EN_PF_YearY!$D$19&lt;&gt;""), EN_PF_YearY!$D$19, AND(EN_PF_YearY!$D$19="", EN_PF_YearZ!$D$19&lt;&gt;""), EN_PF_YearZ!$D$19, AND(EN_PF_Year3!$D$19="", EN_PF_YearY!$D$19="", EN_PF_YearZ!$D$19=""), "")</f>
        <v>44926</v>
      </c>
      <c r="H4" s="16" t="str">
        <f>Progress_Results_Strategy!$B$12</f>
        <v>Increase representation or influence of specific groups</v>
      </c>
      <c r="I4" s="16" t="str">
        <f>Progress_Results_Strategy!C14</f>
        <v>How strong are linkages between the Coordinating Mechanism and other health governance platforms?
[Positioning]</v>
      </c>
      <c r="J4" s="16" t="str">
        <f>Progress_Results_Strategy!D14</f>
        <v/>
      </c>
      <c r="K4" s="16" t="str">
        <f>Progress_Results_Strategy!E14</f>
        <v/>
      </c>
      <c r="L4" s="16" t="str">
        <f>Progress_Results_Strategy!F14</f>
        <v/>
      </c>
      <c r="M4" s="20">
        <f>Progress_Results_Strategy!H14</f>
        <v>0</v>
      </c>
      <c r="N4" s="20">
        <f>Progress_Results_Strategy!I14</f>
        <v>0</v>
      </c>
      <c r="O4" s="20">
        <f>Progress_Results_Strategy!J14</f>
        <v>0</v>
      </c>
    </row>
    <row r="5" spans="1:15" ht="15.75" thickBot="1" x14ac:dyDescent="0.3">
      <c r="A5" s="13">
        <v>4</v>
      </c>
      <c r="B5" s="16" t="str" cm="1">
        <f t="array" ref="B5">_xlfn.IFS(EN_PF_Year3!$D$13&lt;&gt;"", EN_PF_Year3!$D$13, AND(EN_PF_Year3!$D$13="", EN_PF_YearY!$D$13&lt;&gt;""), EN_PF_YearY!$D$13, AND(EN_PF_YearY!$D$13="", EN_PF_YearZ!$D$13&lt;&gt;""), EN_PF_YearZ!$D$13, AND(EN_PF_Year3!$D$13="", EN_PF_YearY!$D$13="", EN_PF_YearZ!$D$13=""), "")</f>
        <v>CCM Lao PDR</v>
      </c>
      <c r="C5" s="16" t="str" cm="1">
        <f t="array" ref="C5">_xlfn.IFS(EN_PF_Year3!$D$14&lt;&gt;"", EN_PF_Year3!$D$14, AND(EN_PF_Year3!$D$14="", EN_PF_YearY!$D$14&lt;&gt;""), EN_PF_YearY!$D$14, AND(EN_PF_YearY!$D$14="", EN_PF_YearZ!$D$14&lt;&gt;""), EN_PF_YearZ!$D$14, AND(EN_PF_Year3!$D$14="", EN_PF_YearY!$D$14="", EN_PF_YearZ!$D$14=""), "")</f>
        <v>Yes</v>
      </c>
      <c r="D5" s="16" t="str" cm="1">
        <f t="array" ref="D5">_xlfn.IFS(EN_PF_Year3!$D$15&lt;&gt;"", EN_PF_Year3!$D$15, AND(EN_PF_Year3!$D$15="", EN_PF_YearY!$D$15&lt;&gt;""), EN_PF_YearY!$D$15, AND(EN_PF_YearY!$D$15="", EN_PF_YearZ!$D$15&lt;&gt;""), EN_PF_YearZ!$D$15, AND(EN_PF_Year3!$D$15="", EN_PF_YearY!$D$15="", EN_PF_YearZ!$D$13=""), "")</f>
        <v>Yes</v>
      </c>
      <c r="E5" s="16" t="str" cm="1">
        <f t="array" ref="E5">_xlfn.IFS(EN_PF_Year3!$D$17&lt;&gt;"", EN_PF_Year3!$D$17, AND(EN_PF_Year3!$D$13="", EN_PF_YearY!$D$17&lt;&gt;""), EN_PF_YearY!$D$17, AND(EN_PF_YearY!$D$17="", EN_PF_YearZ!$D$17&lt;&gt;""), EN_PF_YearZ!$D$17, AND(EN_PF_Year3!$D$17="", EN_PF_YearY!$D$17="", EN_PF_YearZ!$D$17=""), "")</f>
        <v>LAO-CFUND-1906</v>
      </c>
      <c r="F5" s="18" cm="1">
        <f t="array" ref="F5">_xlfn.IFS(EN_PF_Year3!$D$18&lt;&gt;"", EN_PF_Year3!$D$18, AND(EN_PF_Year3!$D$18="", EN_PF_YearY!$D$18&lt;&gt;""), EN_PF_YearY!$D$18, AND(EN_PF_YearY!$D$18="", EN_PF_YearZ!$D$18&lt;&gt;""), EN_PF_YearZ!$D$18, AND(EN_PF_Year3!$D$18="", EN_PF_YearY!$D$18="", EN_PF_YearZ!$D$18=""), "")</f>
        <v>43739</v>
      </c>
      <c r="G5" s="18" cm="1">
        <f t="array" ref="G5">_xlfn.IFS(EN_PF_Year3!$D$19&lt;&gt;"", EN_PF_Year3!$D$19, AND(EN_PF_Year3!$D$19="", EN_PF_YearY!$D$19&lt;&gt;""), EN_PF_YearY!$D$19, AND(EN_PF_YearY!$D$19="", EN_PF_YearZ!$D$19&lt;&gt;""), EN_PF_YearZ!$D$19, AND(EN_PF_Year3!$D$19="", EN_PF_YearY!$D$19="", EN_PF_YearZ!$D$19=""), "")</f>
        <v>44926</v>
      </c>
      <c r="H5" s="16" t="str">
        <f>Progress_Results_Strategy!$B$12</f>
        <v>Increase representation or influence of specific groups</v>
      </c>
      <c r="I5" s="16" t="str">
        <f>Progress_Results_Strategy!C15</f>
        <v>Is civil society engagement being institutionalised?
[Positioning]</v>
      </c>
      <c r="J5" s="16" t="str">
        <f>Progress_Results_Strategy!D15</f>
        <v/>
      </c>
      <c r="K5" s="16" t="str">
        <f>Progress_Results_Strategy!E15</f>
        <v/>
      </c>
      <c r="L5" s="16" t="str">
        <f>Progress_Results_Strategy!F15</f>
        <v/>
      </c>
      <c r="M5" s="20">
        <f>Progress_Results_Strategy!H15</f>
        <v>0</v>
      </c>
      <c r="N5" s="20">
        <f>Progress_Results_Strategy!I15</f>
        <v>0</v>
      </c>
      <c r="O5" s="20">
        <f>Progress_Results_Strategy!J15</f>
        <v>0</v>
      </c>
    </row>
    <row r="6" spans="1:15" ht="15.75" thickBot="1" x14ac:dyDescent="0.3">
      <c r="A6" s="13">
        <v>5</v>
      </c>
      <c r="B6" s="16" t="str" cm="1">
        <f t="array" ref="B6">_xlfn.IFS(EN_PF_Year3!$D$13&lt;&gt;"", EN_PF_Year3!$D$13, AND(EN_PF_Year3!$D$13="", EN_PF_YearY!$D$13&lt;&gt;""), EN_PF_YearY!$D$13, AND(EN_PF_YearY!$D$13="", EN_PF_YearZ!$D$13&lt;&gt;""), EN_PF_YearZ!$D$13, AND(EN_PF_Year3!$D$13="", EN_PF_YearY!$D$13="", EN_PF_YearZ!$D$13=""), "")</f>
        <v>CCM Lao PDR</v>
      </c>
      <c r="C6" s="16" t="str" cm="1">
        <f t="array" ref="C6">_xlfn.IFS(EN_PF_Year3!$D$14&lt;&gt;"", EN_PF_Year3!$D$14, AND(EN_PF_Year3!$D$14="", EN_PF_YearY!$D$14&lt;&gt;""), EN_PF_YearY!$D$14, AND(EN_PF_YearY!$D$14="", EN_PF_YearZ!$D$14&lt;&gt;""), EN_PF_YearZ!$D$14, AND(EN_PF_Year3!$D$14="", EN_PF_YearY!$D$14="", EN_PF_YearZ!$D$14=""), "")</f>
        <v>Yes</v>
      </c>
      <c r="D6" s="16" t="str" cm="1">
        <f t="array" ref="D6">_xlfn.IFS(EN_PF_Year3!$D$15&lt;&gt;"", EN_PF_Year3!$D$15, AND(EN_PF_Year3!$D$15="", EN_PF_YearY!$D$15&lt;&gt;""), EN_PF_YearY!$D$15, AND(EN_PF_YearY!$D$15="", EN_PF_YearZ!$D$15&lt;&gt;""), EN_PF_YearZ!$D$15, AND(EN_PF_Year3!$D$15="", EN_PF_YearY!$D$15="", EN_PF_YearZ!$D$13=""), "")</f>
        <v>Yes</v>
      </c>
      <c r="E6" s="16" t="str" cm="1">
        <f t="array" ref="E6">_xlfn.IFS(EN_PF_Year3!$D$17&lt;&gt;"", EN_PF_Year3!$D$17, AND(EN_PF_Year3!$D$13="", EN_PF_YearY!$D$17&lt;&gt;""), EN_PF_YearY!$D$17, AND(EN_PF_YearY!$D$17="", EN_PF_YearZ!$D$17&lt;&gt;""), EN_PF_YearZ!$D$17, AND(EN_PF_Year3!$D$17="", EN_PF_YearY!$D$17="", EN_PF_YearZ!$D$17=""), "")</f>
        <v>LAO-CFUND-1906</v>
      </c>
      <c r="F6" s="18" cm="1">
        <f t="array" ref="F6">_xlfn.IFS(EN_PF_Year3!$D$18&lt;&gt;"", EN_PF_Year3!$D$18, AND(EN_PF_Year3!$D$18="", EN_PF_YearY!$D$18&lt;&gt;""), EN_PF_YearY!$D$18, AND(EN_PF_YearY!$D$18="", EN_PF_YearZ!$D$18&lt;&gt;""), EN_PF_YearZ!$D$18, AND(EN_PF_Year3!$D$18="", EN_PF_YearY!$D$18="", EN_PF_YearZ!$D$18=""), "")</f>
        <v>43739</v>
      </c>
      <c r="G6" s="18" cm="1">
        <f t="array" ref="G6">_xlfn.IFS(EN_PF_Year3!$D$19&lt;&gt;"", EN_PF_Year3!$D$19, AND(EN_PF_Year3!$D$19="", EN_PF_YearY!$D$19&lt;&gt;""), EN_PF_YearY!$D$19, AND(EN_PF_YearY!$D$19="", EN_PF_YearZ!$D$19&lt;&gt;""), EN_PF_YearZ!$D$19, AND(EN_PF_Year3!$D$19="", EN_PF_YearY!$D$19="", EN_PF_YearZ!$D$19=""), "")</f>
        <v>44926</v>
      </c>
      <c r="H6" s="16" t="str">
        <f>Progress_Results_Strategy!$B$16</f>
        <v>Educate and build capacity on specific thematic areas</v>
      </c>
      <c r="I6" s="16" t="str">
        <f>Progress_Results_Strategy!C16</f>
        <v>How well is the Coordinating Mechanism integrated with the health governance of the country / region?
[Positioning]</v>
      </c>
      <c r="J6" s="16" t="str">
        <f>Progress_Results_Strategy!D16</f>
        <v/>
      </c>
      <c r="K6" s="16" t="str">
        <f>Progress_Results_Strategy!E16</f>
        <v/>
      </c>
      <c r="L6" s="16" t="str">
        <f>Progress_Results_Strategy!F16</f>
        <v/>
      </c>
      <c r="M6" s="20" t="str">
        <f>Progress_Results_Strategy!H16</f>
        <v/>
      </c>
      <c r="N6" s="20" t="str">
        <f>Progress_Results_Strategy!I16</f>
        <v/>
      </c>
      <c r="O6" s="20" t="str">
        <f>Progress_Results_Strategy!J16</f>
        <v/>
      </c>
    </row>
    <row r="7" spans="1:15" ht="15.75" thickBot="1" x14ac:dyDescent="0.3">
      <c r="A7" s="13">
        <v>6</v>
      </c>
      <c r="B7" s="16" t="str" cm="1">
        <f t="array" ref="B7">_xlfn.IFS(EN_PF_Year3!$D$13&lt;&gt;"", EN_PF_Year3!$D$13, AND(EN_PF_Year3!$D$13="", EN_PF_YearY!$D$13&lt;&gt;""), EN_PF_YearY!$D$13, AND(EN_PF_YearY!$D$13="", EN_PF_YearZ!$D$13&lt;&gt;""), EN_PF_YearZ!$D$13, AND(EN_PF_Year3!$D$13="", EN_PF_YearY!$D$13="", EN_PF_YearZ!$D$13=""), "")</f>
        <v>CCM Lao PDR</v>
      </c>
      <c r="C7" s="16" t="str" cm="1">
        <f t="array" ref="C7">_xlfn.IFS(EN_PF_Year3!$D$14&lt;&gt;"", EN_PF_Year3!$D$14, AND(EN_PF_Year3!$D$14="", EN_PF_YearY!$D$14&lt;&gt;""), EN_PF_YearY!$D$14, AND(EN_PF_YearY!$D$14="", EN_PF_YearZ!$D$14&lt;&gt;""), EN_PF_YearZ!$D$14, AND(EN_PF_Year3!$D$14="", EN_PF_YearY!$D$14="", EN_PF_YearZ!$D$14=""), "")</f>
        <v>Yes</v>
      </c>
      <c r="D7" s="16" t="str" cm="1">
        <f t="array" ref="D7">_xlfn.IFS(EN_PF_Year3!$D$15&lt;&gt;"", EN_PF_Year3!$D$15, AND(EN_PF_Year3!$D$15="", EN_PF_YearY!$D$15&lt;&gt;""), EN_PF_YearY!$D$15, AND(EN_PF_YearY!$D$15="", EN_PF_YearZ!$D$15&lt;&gt;""), EN_PF_YearZ!$D$15, AND(EN_PF_Year3!$D$15="", EN_PF_YearY!$D$15="", EN_PF_YearZ!$D$13=""), "")</f>
        <v>Yes</v>
      </c>
      <c r="E7" s="16" t="str" cm="1">
        <f t="array" ref="E7">_xlfn.IFS(EN_PF_Year3!$D$17&lt;&gt;"", EN_PF_Year3!$D$17, AND(EN_PF_Year3!$D$13="", EN_PF_YearY!$D$17&lt;&gt;""), EN_PF_YearY!$D$17, AND(EN_PF_YearY!$D$17="", EN_PF_YearZ!$D$17&lt;&gt;""), EN_PF_YearZ!$D$17, AND(EN_PF_Year3!$D$17="", EN_PF_YearY!$D$17="", EN_PF_YearZ!$D$17=""), "")</f>
        <v>LAO-CFUND-1906</v>
      </c>
      <c r="F7" s="18" cm="1">
        <f t="array" ref="F7">_xlfn.IFS(EN_PF_Year3!$D$18&lt;&gt;"", EN_PF_Year3!$D$18, AND(EN_PF_Year3!$D$18="", EN_PF_YearY!$D$18&lt;&gt;""), EN_PF_YearY!$D$18, AND(EN_PF_YearY!$D$18="", EN_PF_YearZ!$D$18&lt;&gt;""), EN_PF_YearZ!$D$18, AND(EN_PF_Year3!$D$18="", EN_PF_YearY!$D$18="", EN_PF_YearZ!$D$18=""), "")</f>
        <v>43739</v>
      </c>
      <c r="G7" s="18" cm="1">
        <f t="array" ref="G7">_xlfn.IFS(EN_PF_Year3!$D$19&lt;&gt;"", EN_PF_Year3!$D$19, AND(EN_PF_Year3!$D$19="", EN_PF_YearY!$D$19&lt;&gt;""), EN_PF_YearY!$D$19, AND(EN_PF_YearY!$D$19="", EN_PF_YearZ!$D$19&lt;&gt;""), EN_PF_YearZ!$D$19, AND(EN_PF_Year3!$D$19="", EN_PF_YearY!$D$19="", EN_PF_YearZ!$D$19=""), "")</f>
        <v>44926</v>
      </c>
      <c r="H7" s="16" t="str">
        <f>Progress_Results_Strategy!$B$16</f>
        <v>Educate and build capacity on specific thematic areas</v>
      </c>
      <c r="I7" s="16" t="str">
        <f>Progress_Results_Strategy!C17</f>
        <v>Does the Secretariat provide adequate information to Coordinating Mechanism members, to help them perform their role?
[Operations]</v>
      </c>
      <c r="J7" s="16" t="str">
        <f>Progress_Results_Strategy!D17</f>
        <v/>
      </c>
      <c r="K7" s="16" t="str">
        <f>Progress_Results_Strategy!E17</f>
        <v/>
      </c>
      <c r="L7" s="16" t="str">
        <f>Progress_Results_Strategy!F17</f>
        <v/>
      </c>
      <c r="M7" s="20">
        <f>Progress_Results_Strategy!H17</f>
        <v>0</v>
      </c>
      <c r="N7" s="20">
        <f>Progress_Results_Strategy!I17</f>
        <v>0</v>
      </c>
      <c r="O7" s="20">
        <f>Progress_Results_Strategy!J17</f>
        <v>0</v>
      </c>
    </row>
    <row r="8" spans="1:15" ht="15.75" thickBot="1" x14ac:dyDescent="0.3">
      <c r="A8" s="13">
        <v>7</v>
      </c>
      <c r="B8" s="16" t="str" cm="1">
        <f t="array" ref="B8">_xlfn.IFS(EN_PF_Year3!$D$13&lt;&gt;"", EN_PF_Year3!$D$13, AND(EN_PF_Year3!$D$13="", EN_PF_YearY!$D$13&lt;&gt;""), EN_PF_YearY!$D$13, AND(EN_PF_YearY!$D$13="", EN_PF_YearZ!$D$13&lt;&gt;""), EN_PF_YearZ!$D$13, AND(EN_PF_Year3!$D$13="", EN_PF_YearY!$D$13="", EN_PF_YearZ!$D$13=""), "")</f>
        <v>CCM Lao PDR</v>
      </c>
      <c r="C8" s="16" t="str" cm="1">
        <f t="array" ref="C8">_xlfn.IFS(EN_PF_Year3!$D$14&lt;&gt;"", EN_PF_Year3!$D$14, AND(EN_PF_Year3!$D$14="", EN_PF_YearY!$D$14&lt;&gt;""), EN_PF_YearY!$D$14, AND(EN_PF_YearY!$D$14="", EN_PF_YearZ!$D$14&lt;&gt;""), EN_PF_YearZ!$D$14, AND(EN_PF_Year3!$D$14="", EN_PF_YearY!$D$14="", EN_PF_YearZ!$D$14=""), "")</f>
        <v>Yes</v>
      </c>
      <c r="D8" s="16" t="str" cm="1">
        <f t="array" ref="D8">_xlfn.IFS(EN_PF_Year3!$D$15&lt;&gt;"", EN_PF_Year3!$D$15, AND(EN_PF_Year3!$D$15="", EN_PF_YearY!$D$15&lt;&gt;""), EN_PF_YearY!$D$15, AND(EN_PF_YearY!$D$15="", EN_PF_YearZ!$D$15&lt;&gt;""), EN_PF_YearZ!$D$15, AND(EN_PF_Year3!$D$15="", EN_PF_YearY!$D$15="", EN_PF_YearZ!$D$13=""), "")</f>
        <v>Yes</v>
      </c>
      <c r="E8" s="16" t="str" cm="1">
        <f t="array" ref="E8">_xlfn.IFS(EN_PF_Year3!$D$17&lt;&gt;"", EN_PF_Year3!$D$17, AND(EN_PF_Year3!$D$13="", EN_PF_YearY!$D$17&lt;&gt;""), EN_PF_YearY!$D$17, AND(EN_PF_YearY!$D$17="", EN_PF_YearZ!$D$17&lt;&gt;""), EN_PF_YearZ!$D$17, AND(EN_PF_Year3!$D$17="", EN_PF_YearY!$D$17="", EN_PF_YearZ!$D$17=""), "")</f>
        <v>LAO-CFUND-1906</v>
      </c>
      <c r="F8" s="18" cm="1">
        <f t="array" ref="F8">_xlfn.IFS(EN_PF_Year3!$D$18&lt;&gt;"", EN_PF_Year3!$D$18, AND(EN_PF_Year3!$D$18="", EN_PF_YearY!$D$18&lt;&gt;""), EN_PF_YearY!$D$18, AND(EN_PF_YearY!$D$18="", EN_PF_YearZ!$D$18&lt;&gt;""), EN_PF_YearZ!$D$18, AND(EN_PF_Year3!$D$18="", EN_PF_YearY!$D$18="", EN_PF_YearZ!$D$18=""), "")</f>
        <v>43739</v>
      </c>
      <c r="G8" s="18" cm="1">
        <f t="array" ref="G8">_xlfn.IFS(EN_PF_Year3!$D$19&lt;&gt;"", EN_PF_Year3!$D$19, AND(EN_PF_Year3!$D$19="", EN_PF_YearY!$D$19&lt;&gt;""), EN_PF_YearY!$D$19, AND(EN_PF_YearY!$D$19="", EN_PF_YearZ!$D$19&lt;&gt;""), EN_PF_YearZ!$D$19, AND(EN_PF_Year3!$D$19="", EN_PF_YearY!$D$19="", EN_PF_YearZ!$D$19=""), "")</f>
        <v>44926</v>
      </c>
      <c r="H8" s="16" t="str">
        <f>Progress_Results_Strategy!$B$16</f>
        <v>Educate and build capacity on specific thematic areas</v>
      </c>
      <c r="I8" s="16" t="str">
        <f>Progress_Results_Strategy!C18</f>
        <v>Are Coordination Mechanism members prepared to take on their role?
[Operations]</v>
      </c>
      <c r="J8" s="16" t="str">
        <f>Progress_Results_Strategy!D18</f>
        <v/>
      </c>
      <c r="K8" s="16" t="str">
        <f>Progress_Results_Strategy!E18</f>
        <v/>
      </c>
      <c r="L8" s="16" t="str">
        <f>Progress_Results_Strategy!F18</f>
        <v/>
      </c>
      <c r="M8" s="20">
        <f>Progress_Results_Strategy!H18</f>
        <v>0</v>
      </c>
      <c r="N8" s="20">
        <f>Progress_Results_Strategy!I18</f>
        <v>0</v>
      </c>
      <c r="O8" s="20">
        <f>Progress_Results_Strategy!J18</f>
        <v>0</v>
      </c>
    </row>
    <row r="9" spans="1:15" ht="15.75" thickBot="1" x14ac:dyDescent="0.3">
      <c r="A9" s="13">
        <v>8</v>
      </c>
      <c r="B9" s="16" t="str" cm="1">
        <f t="array" ref="B9">_xlfn.IFS(EN_PF_Year3!$D$13&lt;&gt;"", EN_PF_Year3!$D$13, AND(EN_PF_Year3!$D$13="", EN_PF_YearY!$D$13&lt;&gt;""), EN_PF_YearY!$D$13, AND(EN_PF_YearY!$D$13="", EN_PF_YearZ!$D$13&lt;&gt;""), EN_PF_YearZ!$D$13, AND(EN_PF_Year3!$D$13="", EN_PF_YearY!$D$13="", EN_PF_YearZ!$D$13=""), "")</f>
        <v>CCM Lao PDR</v>
      </c>
      <c r="C9" s="16" t="str" cm="1">
        <f t="array" ref="C9">_xlfn.IFS(EN_PF_Year3!$D$14&lt;&gt;"", EN_PF_Year3!$D$14, AND(EN_PF_Year3!$D$14="", EN_PF_YearY!$D$14&lt;&gt;""), EN_PF_YearY!$D$14, AND(EN_PF_YearY!$D$14="", EN_PF_YearZ!$D$14&lt;&gt;""), EN_PF_YearZ!$D$14, AND(EN_PF_Year3!$D$14="", EN_PF_YearY!$D$14="", EN_PF_YearZ!$D$14=""), "")</f>
        <v>Yes</v>
      </c>
      <c r="D9" s="16" t="str" cm="1">
        <f t="array" ref="D9">_xlfn.IFS(EN_PF_Year3!$D$15&lt;&gt;"", EN_PF_Year3!$D$15, AND(EN_PF_Year3!$D$15="", EN_PF_YearY!$D$15&lt;&gt;""), EN_PF_YearY!$D$15, AND(EN_PF_YearY!$D$15="", EN_PF_YearZ!$D$15&lt;&gt;""), EN_PF_YearZ!$D$15, AND(EN_PF_Year3!$D$15="", EN_PF_YearY!$D$15="", EN_PF_YearZ!$D$13=""), "")</f>
        <v>Yes</v>
      </c>
      <c r="E9" s="16" t="str" cm="1">
        <f t="array" ref="E9">_xlfn.IFS(EN_PF_Year3!$D$17&lt;&gt;"", EN_PF_Year3!$D$17, AND(EN_PF_Year3!$D$13="", EN_PF_YearY!$D$17&lt;&gt;""), EN_PF_YearY!$D$17, AND(EN_PF_YearY!$D$17="", EN_PF_YearZ!$D$17&lt;&gt;""), EN_PF_YearZ!$D$17, AND(EN_PF_Year3!$D$17="", EN_PF_YearY!$D$17="", EN_PF_YearZ!$D$17=""), "")</f>
        <v>LAO-CFUND-1906</v>
      </c>
      <c r="F9" s="18" cm="1">
        <f t="array" ref="F9">_xlfn.IFS(EN_PF_Year3!$D$18&lt;&gt;"", EN_PF_Year3!$D$18, AND(EN_PF_Year3!$D$18="", EN_PF_YearY!$D$18&lt;&gt;""), EN_PF_YearY!$D$18, AND(EN_PF_YearY!$D$18="", EN_PF_YearZ!$D$18&lt;&gt;""), EN_PF_YearZ!$D$18, AND(EN_PF_Year3!$D$18="", EN_PF_YearY!$D$18="", EN_PF_YearZ!$D$18=""), "")</f>
        <v>43739</v>
      </c>
      <c r="G9" s="18" cm="1">
        <f t="array" ref="G9">_xlfn.IFS(EN_PF_Year3!$D$19&lt;&gt;"", EN_PF_Year3!$D$19, AND(EN_PF_Year3!$D$19="", EN_PF_YearY!$D$19&lt;&gt;""), EN_PF_YearY!$D$19, AND(EN_PF_YearY!$D$19="", EN_PF_YearZ!$D$19&lt;&gt;""), EN_PF_YearZ!$D$19, AND(EN_PF_Year3!$D$19="", EN_PF_YearY!$D$19="", EN_PF_YearZ!$D$19=""), "")</f>
        <v>44926</v>
      </c>
      <c r="H9" s="16" t="str">
        <f>Progress_Results_Strategy!$B$16</f>
        <v>Educate and build capacity on specific thematic areas</v>
      </c>
      <c r="I9" s="16" t="str">
        <f>Progress_Results_Strategy!C19</f>
        <v>Does the Coordinating mechanism perform its core functions?
[Operations]</v>
      </c>
      <c r="J9" s="16" t="str">
        <f>Progress_Results_Strategy!D19</f>
        <v/>
      </c>
      <c r="K9" s="16" t="str">
        <f>Progress_Results_Strategy!E19</f>
        <v/>
      </c>
      <c r="L9" s="16" t="str">
        <f>Progress_Results_Strategy!F19</f>
        <v/>
      </c>
      <c r="M9" s="20">
        <f>Progress_Results_Strategy!H19</f>
        <v>0</v>
      </c>
      <c r="N9" s="20">
        <f>Progress_Results_Strategy!I19</f>
        <v>0</v>
      </c>
      <c r="O9" s="20">
        <f>Progress_Results_Strategy!J19</f>
        <v>0</v>
      </c>
    </row>
    <row r="10" spans="1:15" ht="15.75" thickBot="1" x14ac:dyDescent="0.3">
      <c r="A10" s="13">
        <v>9</v>
      </c>
      <c r="B10" s="16" t="str" cm="1">
        <f t="array" ref="B10">_xlfn.IFS(EN_PF_Year3!$D$13&lt;&gt;"", EN_PF_Year3!$D$13, AND(EN_PF_Year3!$D$13="", EN_PF_YearY!$D$13&lt;&gt;""), EN_PF_YearY!$D$13, AND(EN_PF_YearY!$D$13="", EN_PF_YearZ!$D$13&lt;&gt;""), EN_PF_YearZ!$D$13, AND(EN_PF_Year3!$D$13="", EN_PF_YearY!$D$13="", EN_PF_YearZ!$D$13=""), "")</f>
        <v>CCM Lao PDR</v>
      </c>
      <c r="C10" s="16" t="str" cm="1">
        <f t="array" ref="C10">_xlfn.IFS(EN_PF_Year3!$D$14&lt;&gt;"", EN_PF_Year3!$D$14, AND(EN_PF_Year3!$D$14="", EN_PF_YearY!$D$14&lt;&gt;""), EN_PF_YearY!$D$14, AND(EN_PF_YearY!$D$14="", EN_PF_YearZ!$D$14&lt;&gt;""), EN_PF_YearZ!$D$14, AND(EN_PF_Year3!$D$14="", EN_PF_YearY!$D$14="", EN_PF_YearZ!$D$14=""), "")</f>
        <v>Yes</v>
      </c>
      <c r="D10" s="16" t="str" cm="1">
        <f t="array" ref="D10">_xlfn.IFS(EN_PF_Year3!$D$15&lt;&gt;"", EN_PF_Year3!$D$15, AND(EN_PF_Year3!$D$15="", EN_PF_YearY!$D$15&lt;&gt;""), EN_PF_YearY!$D$15, AND(EN_PF_YearY!$D$15="", EN_PF_YearZ!$D$15&lt;&gt;""), EN_PF_YearZ!$D$15, AND(EN_PF_Year3!$D$15="", EN_PF_YearY!$D$15="", EN_PF_YearZ!$D$13=""), "")</f>
        <v>Yes</v>
      </c>
      <c r="E10" s="16" t="str" cm="1">
        <f t="array" ref="E10">_xlfn.IFS(EN_PF_Year3!$D$17&lt;&gt;"", EN_PF_Year3!$D$17, AND(EN_PF_Year3!$D$13="", EN_PF_YearY!$D$17&lt;&gt;""), EN_PF_YearY!$D$17, AND(EN_PF_YearY!$D$17="", EN_PF_YearZ!$D$17&lt;&gt;""), EN_PF_YearZ!$D$17, AND(EN_PF_Year3!$D$17="", EN_PF_YearY!$D$17="", EN_PF_YearZ!$D$17=""), "")</f>
        <v>LAO-CFUND-1906</v>
      </c>
      <c r="F10" s="18" cm="1">
        <f t="array" ref="F10">_xlfn.IFS(EN_PF_Year3!$D$18&lt;&gt;"", EN_PF_Year3!$D$18, AND(EN_PF_Year3!$D$18="", EN_PF_YearY!$D$18&lt;&gt;""), EN_PF_YearY!$D$18, AND(EN_PF_YearY!$D$18="", EN_PF_YearZ!$D$18&lt;&gt;""), EN_PF_YearZ!$D$18, AND(EN_PF_Year3!$D$18="", EN_PF_YearY!$D$18="", EN_PF_YearZ!$D$18=""), "")</f>
        <v>43739</v>
      </c>
      <c r="G10" s="18" cm="1">
        <f t="array" ref="G10">_xlfn.IFS(EN_PF_Year3!$D$19&lt;&gt;"", EN_PF_Year3!$D$19, AND(EN_PF_Year3!$D$19="", EN_PF_YearY!$D$19&lt;&gt;""), EN_PF_YearY!$D$19, AND(EN_PF_YearY!$D$19="", EN_PF_YearZ!$D$19&lt;&gt;""), EN_PF_YearZ!$D$19, AND(EN_PF_Year3!$D$19="", EN_PF_YearY!$D$19="", EN_PF_YearZ!$D$19=""), "")</f>
        <v>44926</v>
      </c>
      <c r="H10" s="16" t="str">
        <f>Progress_Results_Strategy!$B$16</f>
        <v>Educate and build capacity on specific thematic areas</v>
      </c>
      <c r="I10" s="16" t="str">
        <f>Progress_Results_Strategy!C20</f>
        <v>Does the Coordinating Mechanism contribute to the development of the National Strategic Plan, including community-system strengthening?
[Engagement]</v>
      </c>
      <c r="J10" s="16" t="str">
        <f>Progress_Results_Strategy!D20</f>
        <v/>
      </c>
      <c r="K10" s="16" t="str">
        <f>Progress_Results_Strategy!E20</f>
        <v/>
      </c>
      <c r="L10" s="16" t="str">
        <f>Progress_Results_Strategy!F20</f>
        <v/>
      </c>
      <c r="M10" s="20">
        <f>Progress_Results_Strategy!H20</f>
        <v>0</v>
      </c>
      <c r="N10" s="20">
        <f>Progress_Results_Strategy!I20</f>
        <v>0</v>
      </c>
      <c r="O10" s="20">
        <f>Progress_Results_Strategy!J20</f>
        <v>0</v>
      </c>
    </row>
    <row r="11" spans="1:15" ht="15.75" thickBot="1" x14ac:dyDescent="0.3">
      <c r="A11" s="13">
        <v>10</v>
      </c>
      <c r="B11" s="16" t="str" cm="1">
        <f t="array" ref="B11">_xlfn.IFS(EN_PF_Year3!$D$13&lt;&gt;"", EN_PF_Year3!$D$13, AND(EN_PF_Year3!$D$13="", EN_PF_YearY!$D$13&lt;&gt;""), EN_PF_YearY!$D$13, AND(EN_PF_YearY!$D$13="", EN_PF_YearZ!$D$13&lt;&gt;""), EN_PF_YearZ!$D$13, AND(EN_PF_Year3!$D$13="", EN_PF_YearY!$D$13="", EN_PF_YearZ!$D$13=""), "")</f>
        <v>CCM Lao PDR</v>
      </c>
      <c r="C11" s="16" t="str" cm="1">
        <f t="array" ref="C11">_xlfn.IFS(EN_PF_Year3!$D$14&lt;&gt;"", EN_PF_Year3!$D$14, AND(EN_PF_Year3!$D$14="", EN_PF_YearY!$D$14&lt;&gt;""), EN_PF_YearY!$D$14, AND(EN_PF_YearY!$D$14="", EN_PF_YearZ!$D$14&lt;&gt;""), EN_PF_YearZ!$D$14, AND(EN_PF_Year3!$D$14="", EN_PF_YearY!$D$14="", EN_PF_YearZ!$D$14=""), "")</f>
        <v>Yes</v>
      </c>
      <c r="D11" s="16" t="str" cm="1">
        <f t="array" ref="D11">_xlfn.IFS(EN_PF_Year3!$D$15&lt;&gt;"", EN_PF_Year3!$D$15, AND(EN_PF_Year3!$D$15="", EN_PF_YearY!$D$15&lt;&gt;""), EN_PF_YearY!$D$15, AND(EN_PF_YearY!$D$15="", EN_PF_YearZ!$D$15&lt;&gt;""), EN_PF_YearZ!$D$15, AND(EN_PF_Year3!$D$15="", EN_PF_YearY!$D$15="", EN_PF_YearZ!$D$13=""), "")</f>
        <v>Yes</v>
      </c>
      <c r="E11" s="16" t="str" cm="1">
        <f t="array" ref="E11">_xlfn.IFS(EN_PF_Year3!$D$17&lt;&gt;"", EN_PF_Year3!$D$17, AND(EN_PF_Year3!$D$13="", EN_PF_YearY!$D$17&lt;&gt;""), EN_PF_YearY!$D$17, AND(EN_PF_YearY!$D$17="", EN_PF_YearZ!$D$17&lt;&gt;""), EN_PF_YearZ!$D$17, AND(EN_PF_Year3!$D$17="", EN_PF_YearY!$D$17="", EN_PF_YearZ!$D$17=""), "")</f>
        <v>LAO-CFUND-1906</v>
      </c>
      <c r="F11" s="18" cm="1">
        <f t="array" ref="F11">_xlfn.IFS(EN_PF_Year3!$D$18&lt;&gt;"", EN_PF_Year3!$D$18, AND(EN_PF_Year3!$D$18="", EN_PF_YearY!$D$18&lt;&gt;""), EN_PF_YearY!$D$18, AND(EN_PF_YearY!$D$18="", EN_PF_YearZ!$D$18&lt;&gt;""), EN_PF_YearZ!$D$18, AND(EN_PF_Year3!$D$18="", EN_PF_YearY!$D$18="", EN_PF_YearZ!$D$18=""), "")</f>
        <v>43739</v>
      </c>
      <c r="G11" s="18" cm="1">
        <f t="array" ref="G11">_xlfn.IFS(EN_PF_Year3!$D$19&lt;&gt;"", EN_PF_Year3!$D$19, AND(EN_PF_Year3!$D$19="", EN_PF_YearY!$D$19&lt;&gt;""), EN_PF_YearY!$D$19, AND(EN_PF_YearY!$D$19="", EN_PF_YearZ!$D$19&lt;&gt;""), EN_PF_YearZ!$D$19, AND(EN_PF_Year3!$D$19="", EN_PF_YearY!$D$19="", EN_PF_YearZ!$D$19=""), "")</f>
        <v>44926</v>
      </c>
      <c r="H11" s="16" t="str">
        <f>Progress_Results_Strategy!$B$21</f>
        <v>Deepen CCM oversight on specific areas &amp; access to/use of data</v>
      </c>
      <c r="I11" s="16" t="str">
        <f>Progress_Results_Strategy!C21</f>
        <v>Does the Coordinating Mechanism regularly share and follow up on oversight results with the Global Fund and in-country stakeholders?
[Oversight]</v>
      </c>
      <c r="J11" s="16" t="str">
        <f>Progress_Results_Strategy!D21</f>
        <v/>
      </c>
      <c r="K11" s="16" t="str">
        <f>Progress_Results_Strategy!E21</f>
        <v/>
      </c>
      <c r="L11" s="16" t="str">
        <f>Progress_Results_Strategy!F21</f>
        <v/>
      </c>
      <c r="M11" s="20" t="str">
        <f>Progress_Results_Strategy!H21</f>
        <v/>
      </c>
      <c r="N11" s="20" t="str">
        <f>Progress_Results_Strategy!I21</f>
        <v/>
      </c>
      <c r="O11" s="20" t="str">
        <f>Progress_Results_Strategy!J21</f>
        <v/>
      </c>
    </row>
    <row r="12" spans="1:15" ht="15.75" thickBot="1" x14ac:dyDescent="0.3">
      <c r="A12" s="13">
        <v>11</v>
      </c>
      <c r="B12" s="16" t="str" cm="1">
        <f t="array" ref="B12">_xlfn.IFS(EN_PF_Year3!$D$13&lt;&gt;"", EN_PF_Year3!$D$13, AND(EN_PF_Year3!$D$13="", EN_PF_YearY!$D$13&lt;&gt;""), EN_PF_YearY!$D$13, AND(EN_PF_YearY!$D$13="", EN_PF_YearZ!$D$13&lt;&gt;""), EN_PF_YearZ!$D$13, AND(EN_PF_Year3!$D$13="", EN_PF_YearY!$D$13="", EN_PF_YearZ!$D$13=""), "")</f>
        <v>CCM Lao PDR</v>
      </c>
      <c r="C12" s="16" t="str" cm="1">
        <f t="array" ref="C12">_xlfn.IFS(EN_PF_Year3!$D$14&lt;&gt;"", EN_PF_Year3!$D$14, AND(EN_PF_Year3!$D$14="", EN_PF_YearY!$D$14&lt;&gt;""), EN_PF_YearY!$D$14, AND(EN_PF_YearY!$D$14="", EN_PF_YearZ!$D$14&lt;&gt;""), EN_PF_YearZ!$D$14, AND(EN_PF_Year3!$D$14="", EN_PF_YearY!$D$14="", EN_PF_YearZ!$D$14=""), "")</f>
        <v>Yes</v>
      </c>
      <c r="D12" s="16" t="str" cm="1">
        <f t="array" ref="D12">_xlfn.IFS(EN_PF_Year3!$D$15&lt;&gt;"", EN_PF_Year3!$D$15, AND(EN_PF_Year3!$D$15="", EN_PF_YearY!$D$15&lt;&gt;""), EN_PF_YearY!$D$15, AND(EN_PF_YearY!$D$15="", EN_PF_YearZ!$D$15&lt;&gt;""), EN_PF_YearZ!$D$15, AND(EN_PF_Year3!$D$15="", EN_PF_YearY!$D$15="", EN_PF_YearZ!$D$13=""), "")</f>
        <v>Yes</v>
      </c>
      <c r="E12" s="16" t="str" cm="1">
        <f t="array" ref="E12">_xlfn.IFS(EN_PF_Year3!$D$17&lt;&gt;"", EN_PF_Year3!$D$17, AND(EN_PF_Year3!$D$13="", EN_PF_YearY!$D$17&lt;&gt;""), EN_PF_YearY!$D$17, AND(EN_PF_YearY!$D$17="", EN_PF_YearZ!$D$17&lt;&gt;""), EN_PF_YearZ!$D$17, AND(EN_PF_Year3!$D$17="", EN_PF_YearY!$D$17="", EN_PF_YearZ!$D$17=""), "")</f>
        <v>LAO-CFUND-1906</v>
      </c>
      <c r="F12" s="18" cm="1">
        <f t="array" ref="F12">_xlfn.IFS(EN_PF_Year3!$D$18&lt;&gt;"", EN_PF_Year3!$D$18, AND(EN_PF_Year3!$D$18="", EN_PF_YearY!$D$18&lt;&gt;""), EN_PF_YearY!$D$18, AND(EN_PF_YearY!$D$18="", EN_PF_YearZ!$D$18&lt;&gt;""), EN_PF_YearZ!$D$18, AND(EN_PF_Year3!$D$18="", EN_PF_YearY!$D$18="", EN_PF_YearZ!$D$18=""), "")</f>
        <v>43739</v>
      </c>
      <c r="G12" s="18" cm="1">
        <f t="array" ref="G12">_xlfn.IFS(EN_PF_Year3!$D$19&lt;&gt;"", EN_PF_Year3!$D$19, AND(EN_PF_Year3!$D$19="", EN_PF_YearY!$D$19&lt;&gt;""), EN_PF_YearY!$D$19, AND(EN_PF_YearY!$D$19="", EN_PF_YearZ!$D$19&lt;&gt;""), EN_PF_YearZ!$D$19, AND(EN_PF_Year3!$D$19="", EN_PF_YearY!$D$19="", EN_PF_YearZ!$D$19=""), "")</f>
        <v>44926</v>
      </c>
      <c r="H12" s="16" t="str">
        <f>Progress_Results_Strategy!$B$21</f>
        <v>Deepen CCM oversight on specific areas &amp; access to/use of data</v>
      </c>
      <c r="I12" s="16" t="str">
        <f>Progress_Results_Strategy!C22</f>
        <v>Does the OC regularly collect strategic information, including from non-implementers of GF grants through consultations and/or site visits, for data-driven decision-making? These may include community-lead monitoring (CLM) observatories, human rights complaints mechanisms, ...  [Oversight]</v>
      </c>
      <c r="J12" s="16" t="str">
        <f>Progress_Results_Strategy!D22</f>
        <v/>
      </c>
      <c r="K12" s="16" t="str">
        <f>Progress_Results_Strategy!E22</f>
        <v/>
      </c>
      <c r="L12" s="16" t="str">
        <f>Progress_Results_Strategy!F22</f>
        <v/>
      </c>
      <c r="M12" s="20">
        <f>Progress_Results_Strategy!H22</f>
        <v>0</v>
      </c>
      <c r="N12" s="20">
        <f>Progress_Results_Strategy!I22</f>
        <v>0</v>
      </c>
      <c r="O12" s="20">
        <f>Progress_Results_Strategy!J22</f>
        <v>0</v>
      </c>
    </row>
  </sheetData>
  <sheetProtection algorithmName="SHA-512" hashValue="tJbQGeOxSc8FH5gGqovVx1ad8u/UFLU3ZVb52f2f5m/ykZKGxoeHPzwqYaUvoIp22Ju80Cv1Rs37SPZ00k/5dA==" saltValue="ABOia0mv5z/pWTewEAx7nA==" spinCount="100000" sheet="1" objects="1" scenario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134D6-3EE6-4CA1-92E2-9F12896FBE1A}">
  <sheetPr codeName="Sheet1">
    <tabColor rgb="FFFFFF00"/>
    <pageSetUpPr fitToPage="1"/>
  </sheetPr>
  <dimension ref="A1:AZ97"/>
  <sheetViews>
    <sheetView topLeftCell="B7" zoomScale="80" zoomScaleNormal="80" workbookViewId="0">
      <selection activeCell="D17" sqref="D17"/>
    </sheetView>
  </sheetViews>
  <sheetFormatPr defaultColWidth="8.625" defaultRowHeight="14.25" x14ac:dyDescent="0.2"/>
  <cols>
    <col min="1" max="1" width="0.375" style="23" hidden="1" customWidth="1"/>
    <col min="2" max="2" width="10.625" style="23" customWidth="1"/>
    <col min="3" max="3" width="48.625" style="23" customWidth="1"/>
    <col min="4" max="8" width="10.625" style="23" customWidth="1"/>
    <col min="9" max="9" width="8.625" style="23" customWidth="1"/>
    <col min="10" max="13" width="10.625" style="23" customWidth="1"/>
    <col min="14" max="14" width="10.625" style="102" customWidth="1"/>
    <col min="15" max="15" width="8.625" style="23" customWidth="1"/>
    <col min="16" max="21" width="10.625" style="23" customWidth="1"/>
    <col min="22" max="22" width="8.625" style="23"/>
    <col min="23" max="24" width="8.625" style="17"/>
    <col min="25" max="44" width="8.625" style="35"/>
    <col min="45" max="52" width="8.625" style="17"/>
    <col min="53" max="16384" width="8.625" style="23"/>
  </cols>
  <sheetData>
    <row r="1" spans="1:52" x14ac:dyDescent="0.2">
      <c r="A1" s="17"/>
      <c r="B1" s="17"/>
      <c r="C1" s="17"/>
      <c r="D1" s="17"/>
      <c r="E1" s="17"/>
      <c r="F1" s="17"/>
      <c r="G1" s="17"/>
      <c r="H1" s="17"/>
      <c r="I1" s="17"/>
      <c r="J1" s="17"/>
      <c r="K1" s="17"/>
      <c r="L1" s="17"/>
      <c r="M1" s="17"/>
      <c r="N1" s="17"/>
      <c r="O1" s="17"/>
      <c r="P1" s="17"/>
      <c r="Q1" s="17"/>
      <c r="R1" s="17"/>
      <c r="S1" s="17"/>
      <c r="T1" s="17"/>
      <c r="U1" s="17"/>
      <c r="V1" s="17"/>
    </row>
    <row r="2" spans="1:52" x14ac:dyDescent="0.2">
      <c r="A2" s="17"/>
      <c r="B2" s="17"/>
      <c r="C2" s="17"/>
      <c r="D2" s="17"/>
      <c r="E2" s="17"/>
      <c r="F2" s="17"/>
      <c r="G2" s="17"/>
      <c r="H2" s="17"/>
      <c r="I2" s="17"/>
      <c r="J2" s="17"/>
      <c r="K2" s="17"/>
      <c r="L2" s="17"/>
      <c r="M2" s="17"/>
      <c r="N2" s="17"/>
      <c r="O2" s="17"/>
      <c r="P2" s="17"/>
      <c r="Q2" s="17"/>
      <c r="R2" s="17"/>
      <c r="S2" s="17"/>
      <c r="T2" s="17"/>
      <c r="U2" s="17"/>
      <c r="V2" s="17"/>
    </row>
    <row r="3" spans="1:52" s="100" customFormat="1" ht="33.75" x14ac:dyDescent="0.2">
      <c r="A3" s="2"/>
      <c r="B3" s="2"/>
      <c r="C3" s="2"/>
      <c r="D3" s="2"/>
      <c r="E3" s="2"/>
      <c r="F3" s="2"/>
      <c r="G3" s="2"/>
      <c r="H3" s="22"/>
      <c r="I3" s="132"/>
      <c r="J3" s="2"/>
      <c r="K3" s="22"/>
      <c r="L3" s="2"/>
      <c r="M3" s="17"/>
      <c r="N3" s="17"/>
      <c r="O3" s="17"/>
      <c r="P3" s="132"/>
      <c r="Q3" s="2"/>
      <c r="R3" s="2"/>
      <c r="S3" s="2"/>
      <c r="T3" s="2"/>
      <c r="U3" s="2"/>
      <c r="V3" s="2"/>
      <c r="W3" s="88"/>
      <c r="X3" s="88"/>
      <c r="Y3" s="214"/>
      <c r="Z3" s="214"/>
      <c r="AA3" s="35"/>
      <c r="AB3" s="35"/>
      <c r="AC3" s="35"/>
      <c r="AD3" s="35"/>
      <c r="AE3" s="214"/>
      <c r="AF3" s="214"/>
      <c r="AG3" s="214"/>
      <c r="AH3" s="214"/>
      <c r="AI3" s="214"/>
      <c r="AJ3" s="214"/>
      <c r="AK3" s="214"/>
      <c r="AL3" s="214"/>
      <c r="AM3" s="214"/>
      <c r="AN3" s="214"/>
      <c r="AO3" s="214"/>
      <c r="AP3" s="214"/>
      <c r="AQ3" s="214"/>
      <c r="AR3" s="214"/>
      <c r="AS3" s="88"/>
      <c r="AT3" s="88"/>
      <c r="AU3" s="88"/>
      <c r="AV3" s="88"/>
      <c r="AW3" s="88"/>
      <c r="AX3" s="88"/>
      <c r="AY3" s="88"/>
      <c r="AZ3" s="88"/>
    </row>
    <row r="4" spans="1:52" ht="47.45" customHeight="1" thickBot="1" x14ac:dyDescent="0.25">
      <c r="A4" s="17"/>
      <c r="B4" s="17"/>
      <c r="C4" s="313" t="s">
        <v>152</v>
      </c>
      <c r="D4" s="313"/>
      <c r="E4" s="313"/>
      <c r="F4" s="313"/>
      <c r="G4" s="6"/>
      <c r="H4" s="6"/>
      <c r="I4" s="6"/>
      <c r="J4" s="6"/>
      <c r="K4" s="6"/>
      <c r="L4" s="6"/>
      <c r="M4" s="17"/>
      <c r="N4" s="131"/>
      <c r="O4" s="17"/>
      <c r="P4" s="6"/>
      <c r="Q4" s="122"/>
      <c r="R4" s="6"/>
      <c r="S4" s="17"/>
      <c r="T4" s="17"/>
      <c r="U4" s="17"/>
      <c r="V4" s="17"/>
    </row>
    <row r="5" spans="1:52" ht="34.5" thickBot="1" x14ac:dyDescent="0.25">
      <c r="A5" s="17"/>
      <c r="B5" s="17"/>
      <c r="C5" s="107" t="s">
        <v>199</v>
      </c>
      <c r="D5" s="17"/>
      <c r="E5" s="6"/>
      <c r="F5" s="6"/>
      <c r="G5" s="6"/>
      <c r="H5" s="6"/>
      <c r="I5" s="130" t="str">
        <f>IF(AND(E12&lt;&gt;"", F12="", G12&lt;&gt;""),"Error alert: Year 2 information is missing. Please correct the annual sheets accordingly","")</f>
        <v/>
      </c>
      <c r="J5" s="6"/>
      <c r="K5" s="6"/>
      <c r="L5" s="6"/>
      <c r="M5" s="17"/>
      <c r="N5" s="17"/>
      <c r="O5" s="17"/>
      <c r="P5" s="6"/>
      <c r="Q5" s="6"/>
      <c r="R5" s="6"/>
      <c r="S5" s="17"/>
      <c r="T5" s="17"/>
      <c r="U5" s="17"/>
      <c r="V5" s="17"/>
    </row>
    <row r="6" spans="1:52" ht="34.5" thickBot="1" x14ac:dyDescent="0.25">
      <c r="B6" s="17"/>
      <c r="C6" s="24" t="s">
        <v>115</v>
      </c>
      <c r="D6" s="17"/>
      <c r="E6" s="6"/>
      <c r="F6" s="6"/>
      <c r="G6" s="6"/>
      <c r="H6" s="6"/>
      <c r="I6" s="93" t="str">
        <f>IF(OR(EN_PF_Year3!G18&lt;&gt;"", EN_PF_YearY!G18&lt;&gt;"", EN_PF_YearZ!G18&lt;&gt;""),"Error alert: the are some wrong inputs in the performance evaluation. Please revise the annual sheets and come back.","")</f>
        <v>Error alert: the are some wrong inputs in the performance evaluation. Please revise the annual sheets and come back.</v>
      </c>
      <c r="J6" s="6"/>
      <c r="K6" s="6"/>
      <c r="L6" s="6"/>
      <c r="M6" s="6"/>
      <c r="N6" s="6"/>
      <c r="O6" s="6"/>
      <c r="P6" s="6"/>
      <c r="Q6" s="6"/>
      <c r="R6" s="6"/>
      <c r="S6" s="17"/>
      <c r="T6" s="17"/>
      <c r="U6" s="17"/>
      <c r="V6" s="17"/>
    </row>
    <row r="7" spans="1:52" ht="15" customHeight="1" thickBot="1" x14ac:dyDescent="0.25">
      <c r="B7" s="17"/>
      <c r="C7" s="17"/>
      <c r="D7" s="35" t="str">
        <f>IF(AND(E12="", E13="", E14="", E15="", OR(OR(F12&lt;&gt;"",F13&lt;&gt;"", F14&lt;&gt;"", F15&lt;&gt;""), OR(G12&lt;&gt;"",G13&lt;&gt;"", G14&lt;&gt;"", G15&lt;&gt;""))),"Evaluation Year 1 not applicable in this performance period","")</f>
        <v/>
      </c>
      <c r="E7" s="17"/>
      <c r="F7" s="17"/>
      <c r="G7" s="17"/>
      <c r="H7" s="17"/>
      <c r="I7" s="127" t="str">
        <f>IF(AND(F12="", F13="", F14="", F15="", OR(G12&lt;&gt;"",G13&lt;&gt;"", G14&lt;&gt;"", G15&lt;&gt;""), E12="", E13="", E14="", E15=""),"Evaluation Year 2 not applicable in this performance period","")</f>
        <v/>
      </c>
      <c r="J7" s="17"/>
      <c r="K7" s="17"/>
      <c r="L7" s="17"/>
      <c r="M7" s="17"/>
      <c r="N7" s="99"/>
      <c r="O7" s="17"/>
      <c r="P7" s="17"/>
      <c r="Q7" s="17"/>
      <c r="R7" s="17"/>
      <c r="S7" s="17"/>
      <c r="T7" s="17"/>
      <c r="U7" s="17"/>
      <c r="V7" s="17"/>
    </row>
    <row r="8" spans="1:52" s="100" customFormat="1" ht="34.35" customHeight="1" thickBot="1" x14ac:dyDescent="0.25">
      <c r="A8" s="342" t="str" cm="1">
        <f t="array" ref="A8">_xlfn.IFS(AND(E18="", E19="", E20="", E21="", OR(AND(F18&lt;&gt;"",F19&lt;&gt;"", F20&lt;&gt;"", F21&lt;&gt;""), AND(G18&lt;&gt;"",G19&lt;&gt;"", G20&lt;&gt;"", G21&lt;&gt;"")), $C$6="Year 1"),"Evaluation Year 1 not applicable in this performance period", AND(F18="", F19="", F20="", F21="", G18&lt;&gt;"",G19&lt;&gt;"", G20&lt;&gt;"", G21&lt;&gt;"", E12="", E13="", E14="", E15="", $C$6="Year 2"),"Evaluation Year 2 not applicable in this performance period",OR(AND(C6="Year 1",OR(E12="",E13="",E14="",E15="")),AND(C6="Year 2",OR(F12="",F13="",F14="",F15="")),AND(C6="Year 3",OR(G12="",G13="",G14="",G15=""))),_xlfn.CONCAT(C6," results will be displayed after Global Fund's validation"),OR(C6="Year 1",C6="Year 2",C6="Year 3",C6="Year 4"),_xlfn.CONCAT("Results, ",C6),OR(EN_PF_Year3!D14="No",EN_PF_YearY!D14="No",EN_PF_YearZ!D14="No"),"The Coordinating mechanism did not complete a separate baseline at the beginning of this performance period",C6="Qualitative Baseline","Baseline results",OR(EN_PF_Year3!D14="No",EN_PF_YearY!D14="No",EN_PF_YearZ!D14="No"),"The Coordinating mechanism did not complete a separate baseline at the beginning of this performance period")</f>
        <v>Year 1 results will be displayed after Global Fund's validation</v>
      </c>
      <c r="B8" s="343"/>
      <c r="C8" s="343"/>
      <c r="D8" s="123" t="str">
        <f>IF(AND(E12="", E13="", E14="", E15="", OR(AND(F12&lt;&gt;"",F13&lt;&gt;"", F14&lt;&gt;"", F15&lt;&gt;""), AND(G12&lt;&gt;"",G13&lt;&gt;"", G14&lt;&gt;"", G15&lt;&gt;"")), $C$6="Year 1"),"Evaluation Year 1 not applicable in this performance period","")</f>
        <v/>
      </c>
      <c r="E8" s="123"/>
      <c r="F8" s="123"/>
      <c r="G8" s="123"/>
      <c r="H8" s="123"/>
      <c r="I8" s="123" t="str">
        <f>IF(AND(F12="", F13="", F14="", F15="", G12&lt;&gt;"",G13&lt;&gt;"", G14&lt;&gt;"", G15&lt;&gt;"", E12="", E13="", E14="", E15="", $C$6="Year 2"),"Evaluation Year 2 not applicable in this performance period","")</f>
        <v/>
      </c>
      <c r="J8" s="123"/>
      <c r="K8" s="123"/>
      <c r="L8" s="123"/>
      <c r="M8" s="123"/>
      <c r="N8" s="124" t="str">
        <f>IF(OR(EN_PF_Year3!D14="No",EN_PF_YearY!D14="No",EN_PF_YearZ!D14="No"),"The Coordinating mechanism did not complete a separate baseline at the beginning of this performance period", "")</f>
        <v/>
      </c>
      <c r="O8" s="125"/>
      <c r="P8" s="125"/>
      <c r="Q8" s="125"/>
      <c r="R8" s="125"/>
      <c r="S8" s="125"/>
      <c r="T8" s="125"/>
      <c r="U8" s="125"/>
      <c r="V8" s="126"/>
      <c r="W8" s="88"/>
      <c r="X8" s="88"/>
      <c r="Y8" s="214"/>
      <c r="Z8" s="214"/>
      <c r="AA8" s="35"/>
      <c r="AB8" s="35"/>
      <c r="AC8" s="35"/>
      <c r="AD8" s="35"/>
      <c r="AE8" s="214"/>
      <c r="AF8" s="214"/>
      <c r="AG8" s="214"/>
      <c r="AH8" s="214"/>
      <c r="AI8" s="214"/>
      <c r="AJ8" s="214"/>
      <c r="AK8" s="214"/>
      <c r="AL8" s="214"/>
      <c r="AM8" s="214"/>
      <c r="AN8" s="214"/>
      <c r="AO8" s="214"/>
      <c r="AP8" s="214"/>
      <c r="AQ8" s="214"/>
      <c r="AR8" s="214"/>
      <c r="AS8" s="88"/>
      <c r="AT8" s="88"/>
      <c r="AU8" s="88"/>
      <c r="AV8" s="88"/>
      <c r="AW8" s="88"/>
      <c r="AX8" s="88"/>
      <c r="AY8" s="88"/>
      <c r="AZ8" s="88"/>
    </row>
    <row r="9" spans="1:52" s="100" customFormat="1" ht="15" customHeight="1" x14ac:dyDescent="0.2">
      <c r="A9" s="87"/>
      <c r="B9" s="17"/>
      <c r="C9" s="17"/>
      <c r="D9" s="17"/>
      <c r="E9" s="17"/>
      <c r="F9" s="17"/>
      <c r="G9" s="17"/>
      <c r="H9" s="17"/>
      <c r="I9" s="17"/>
      <c r="J9" s="131" t="s">
        <v>688</v>
      </c>
      <c r="K9" s="17"/>
      <c r="L9" s="17"/>
      <c r="M9" s="17"/>
      <c r="N9" s="17"/>
      <c r="O9" s="17"/>
      <c r="P9" s="17"/>
      <c r="Q9" s="17"/>
      <c r="R9" s="17"/>
      <c r="S9" s="17"/>
      <c r="T9" s="17"/>
      <c r="U9" s="17"/>
      <c r="V9" s="17"/>
      <c r="W9" s="88"/>
      <c r="X9" s="88"/>
      <c r="Y9" s="214"/>
      <c r="Z9" s="214"/>
      <c r="AA9" s="35"/>
      <c r="AB9" s="35"/>
      <c r="AC9" s="35"/>
      <c r="AD9" s="35"/>
      <c r="AE9" s="214"/>
      <c r="AF9" s="214"/>
      <c r="AG9" s="214"/>
      <c r="AH9" s="214"/>
      <c r="AI9" s="214"/>
      <c r="AJ9" s="214"/>
      <c r="AK9" s="214"/>
      <c r="AL9" s="214"/>
      <c r="AM9" s="214"/>
      <c r="AN9" s="214"/>
      <c r="AO9" s="214"/>
      <c r="AP9" s="214"/>
      <c r="AQ9" s="214"/>
      <c r="AR9" s="214"/>
      <c r="AS9" s="88"/>
      <c r="AT9" s="88"/>
      <c r="AU9" s="88"/>
      <c r="AV9" s="88"/>
      <c r="AW9" s="88"/>
      <c r="AX9" s="88"/>
      <c r="AY9" s="88"/>
      <c r="AZ9" s="88"/>
    </row>
    <row r="10" spans="1:52" ht="15" customHeight="1" x14ac:dyDescent="0.25">
      <c r="B10" s="17"/>
      <c r="C10" s="17"/>
      <c r="D10" s="17"/>
      <c r="E10" s="17"/>
      <c r="F10" s="17"/>
      <c r="G10" s="17"/>
      <c r="H10" s="17"/>
      <c r="I10" s="17"/>
      <c r="J10" s="17"/>
      <c r="K10" s="328" t="s">
        <v>482</v>
      </c>
      <c r="L10" s="328"/>
      <c r="M10" s="328"/>
      <c r="N10" s="328"/>
      <c r="O10" s="17"/>
      <c r="P10" s="17"/>
      <c r="Q10" s="17"/>
      <c r="R10" s="17"/>
      <c r="S10" s="17"/>
      <c r="T10" s="17"/>
      <c r="U10" s="17"/>
      <c r="V10" s="17"/>
    </row>
    <row r="11" spans="1:52" ht="30" customHeight="1" x14ac:dyDescent="0.2">
      <c r="A11" s="17"/>
      <c r="B11" s="26" t="s">
        <v>227</v>
      </c>
      <c r="C11" s="206" t="s">
        <v>193</v>
      </c>
      <c r="D11" s="63" t="s">
        <v>228</v>
      </c>
      <c r="E11" s="63" t="str">
        <f>IF(OR(AND(EN_PF_Year3!D20="Year 1",EN_PF_Year3!D21="In-depth (Qualitative baseline)"), AND(EN_PF_YearY!D20="Year 1",EN_PF_YearY!D21="In-depth (Qualitative baseline)"), AND(EN_PF_YearZ!D20="Year 1",EN_PF_YearZ!D21="In-depth (Qualitative baseline)")), "Year 1 Q. B.","Year 1")</f>
        <v>Year 1</v>
      </c>
      <c r="F11" s="26" t="str">
        <f>IF(OR(AND(EN_PF_Year3!D20="Year 2",EN_PF_Year3!D21="In-depth (Qualitative baseline)"), AND(EN_PF_YearY!D20="Year 2",EN_PF_YearY!D21="In-depth (Qualitative baseline)"), AND(EN_PF_YearZ!D20="Year 2",EN_PF_YearZ!D21="In-depth (Qualitative baseline)")), "Year 2 Q. B.","Year 2")</f>
        <v>Year 2</v>
      </c>
      <c r="G11" s="26" t="str">
        <f>IF(OR(AND(EN_PF_Year3!D20="Year 3",EN_PF_Year3!D21="In-depth (Qualitative baseline)"),AND(EN_PF_YearY!D20="Year 3",EN_PF_YearY!D21="In-depth (Qualitative baseline)"),AND(EN_PF_YearZ!D20="Year 3",EN_PF_YearZ!D21="In-depth (Qualitative baseline)")),"Year 3 Q. B.","Year 3")</f>
        <v>Year 3</v>
      </c>
      <c r="H11" s="17"/>
      <c r="I11" s="17"/>
      <c r="J11" s="86" t="str">
        <f>IF(C6="Qualitative Baseline", "Proposed Baseline", _xlfn.CONCAT("Proposed ", C6))</f>
        <v>Proposed Year 1</v>
      </c>
      <c r="K11" s="63" t="s">
        <v>228</v>
      </c>
      <c r="L11" s="26" t="str">
        <f>IF(OR(AND(EN_PF_Year3!D20="Year 1",EN_PF_Year3!D21="In-depth (Qualitative baseline)"), AND(EN_PF_YearY!D20="Year 1",EN_PF_YearY!D21="In-depth (Qualitative baseline)"), AND(EN_PF_YearZ!D20="Year 1",EN_PF_YearZ!D21="In-depth (Qualitative baseline)")), "Year 1 Q. B.","Year 1")</f>
        <v>Year 1</v>
      </c>
      <c r="M11" s="26" t="str">
        <f>IF(OR(AND(EN_PF_Year3!D20="Year 2",EN_PF_Year3!D21="In-depth (Qualitative baseline)"), AND(EN_PF_YearY!D20="Year 2",EN_PF_YearY!D21="In-depth (Qualitative baseline)"), AND(EN_PF_YearZ!D20="Year 2",EN_PF_YearZ!D21="In-depth (Qualitative baseline)")), "Year 2 Q. B.","Year 2")</f>
        <v>Year 2</v>
      </c>
      <c r="N11" s="26" t="str">
        <f>IF(OR(AND(EN_PF_Year3!D20="Year 3",EN_PF_Year3!D21="In-depth (Qualitative baseline)"),AND(EN_PF_YearY!D20="Year 3",EN_PF_YearY!D21="In-depth (Qualitative baseline)"),AND(EN_PF_YearZ!D20="Year 3",EN_PF_YearZ!D21="In-depth (Qualitative baseline)")),"Year 3 Q. B.","Year 3")</f>
        <v>Year 3</v>
      </c>
      <c r="O11" s="17"/>
      <c r="P11" s="17"/>
      <c r="Q11" s="17"/>
      <c r="R11" s="17"/>
      <c r="S11" s="17"/>
      <c r="T11" s="17"/>
      <c r="U11" s="17"/>
      <c r="V11" s="17"/>
    </row>
    <row r="12" spans="1:52" ht="30" customHeight="1" x14ac:dyDescent="0.2">
      <c r="A12" s="17"/>
      <c r="B12" s="27">
        <v>3</v>
      </c>
      <c r="C12" s="47" t="s">
        <v>639</v>
      </c>
      <c r="D12" s="29" t="str" cm="1">
        <f t="array" ref="D12">_xlfn.IFS(I51="","",I51&lt;0.25,"Non-compliant",AND(I51&gt;=0.25,I51&lt;0.58),"Compliant with issues",I51&gt;=0.58,"Fully compliant")</f>
        <v>Compliant with issues</v>
      </c>
      <c r="E12" s="29" t="str" cm="1">
        <f t="array" ref="E12">_xlfn.IFS(OR(P72="",P73="",P74="",P75="",P76="",P77=""),"",AVERAGE(P72:P77)&lt;0.25,"Non-compliant",AND(AVERAGE(P72:P77)&gt;=0.25,AVERAGE(P72:P77)&lt;0.58),"Compliant with issues",AVERAGE(P72:P77)&gt;=0.58,"Fully compliant")</f>
        <v/>
      </c>
      <c r="F12" s="29" t="str" cm="1">
        <f t="array" ref="F12">_xlfn.IFS(OR(Q72="",Q73="",Q74="",Q75="",Q76="",Q76=""),"",AVERAGE(Q72:Q77)&lt;0.25,"Non-compliant",AND(AVERAGE(Q72:Q77)&gt;=0.25,AVERAGE(Q72:Q77)&lt;0.58),"Compliant with issues",AVERAGE(Q72:Q77)&gt;=0.58,"Fully compliant")</f>
        <v/>
      </c>
      <c r="G12" s="29" t="str" cm="1">
        <f t="array" ref="G12">_xlfn.IFS(OR(R72="",R73="",R74="",R75="",R76="",R77=""),"",AVERAGE(R72:R77)&lt;0.25,"Non-compliant",AND(AVERAGE(R72:R77)&gt;=0.25,AVERAGE(R72:R77)&lt;0.58),"Compliant with issues",AVERAGE(R72:R77)&gt;=0.58,"Fully compliant")</f>
        <v/>
      </c>
      <c r="H12" s="17"/>
      <c r="I12" s="17"/>
      <c r="J12" s="350" t="str" cm="1">
        <f t="array" ref="J12">_xlfn.IFS(AND(C6="Year 3",COUNTIF(G12:G15,"Non-compliant")&gt;1, G12&lt;&gt;"",G13&lt;&gt;"",G14&lt;&gt;"",G15&lt;&gt;""),"Non-compliant",AND(C6="Year 3",OR(COUNTIF(G12:G15,"Non-compliant")=1, AND(COUNTIF(G12:G15,"Non-compliant")=0, COUNTIF(G12:G15,"Compliant with issues")&gt;=2)), G12&lt;&gt;"",G13&lt;&gt;"",G14&lt;&gt;"",G15&lt;&gt;""),"Compliant with issues",AND(C6="Year 3", OR(G12="",G13="",G14="",G15="")),"Year 3 results - to be completed",AND(C6="Year 2",COUNTIF(F12:F15,"Non-compliant")&gt;1, F12&lt;&gt;"",F13&lt;&gt;"",F14&lt;&gt;"",F15&lt;&gt;""),"Non-compliant",AND(C6="Year 2",OR(COUNTIF(F12:F15,"Non-compliant")=1, AND(COUNTIF(F12:F15,"Non-compliant")=0, COUNTIF(F12:F15,"Compliant with issues")&gt;=2)), F12&lt;&gt;"",F13&lt;&gt;"",F14&lt;&gt;"",F15&lt;&gt;""),"Compliant with issues",AND(C6="Year 2", OR(F12="",F13="",F14="",F15="")),"Year 2 results - to be completed",AND(C6="Year 1",COUNTIF(E12:E15,"Non-compliant")&gt;1, E12&lt;&gt;"",E13&lt;&gt;"",E14&lt;&gt;"",E15&lt;&gt;""),"Non-compliant",AND(C6="Year 1",OR(COUNTIF(E12:E15,"Non-compliant")=1, AND(COUNTIF(E12:E15,"Non-compliant")=0, COUNTIF(E12:E15,"Compliant with issues")&gt;=2)), E12&lt;&gt;"",E13&lt;&gt;"",E14&lt;&gt;"",E15&lt;&gt;""),"Compliant with issues",AND(C6="Year 1", OR(E12="",E13="",E14="",E15="")),"Year 1 results - to be completed",AND(C6="Qualitative Baseline",COUNTIF(D12:D15,"Non-compliant")&gt;1, D12&lt;&gt;"",D13&lt;&gt;"",D14&lt;&gt;"",D15&lt;&gt;""),"Non-compliant",AND(C6="Qualitative Baseline",OR(COUNTIF(D12:D15,"Non-compliant")=1, AND(COUNTIF(D12:D15,"Non-compliant")=0, COUNTIF(D12:D15,"Compliant with issues")&gt;=2)), D12&lt;&gt;"",D13&lt;&gt;"",D14&lt;&gt;"",D15&lt;&gt;""),"Compliant with issues",AND(C6="Qualitative Baseline", OR(D12="",D13="",D14="",D15="")),"Qualitative results - to be completed",AND(C6="Year 3", COUNTIF(G12:G15,"Non-compliant")=0, COUNTIF(G12:G15,"Compliant with issues")&lt;2, G12&lt;&gt;"",G13&lt;&gt;"",G14&lt;&gt;"",G15&lt;&gt;""),"Fully Compliant",AND(C6="Year 2", COUNTIF(F12:F15,"Non-compliant")=0, COUNTIF(F12:F15,"Compliant with issues")&lt;2, F12&lt;&gt;"",F13&lt;&gt;"",F14&lt;&gt;"",F15&lt;&gt;""),"Fully Compliant",AND(C6="Year 1", COUNTIF(E12:E15,"Non-compliant")=0, COUNTIF(E12:E15,"Compliant with issues")&lt;2, E12&lt;&gt;"",E13&lt;&gt;"",E14&lt;&gt;"",E15&lt;&gt;""),"Fully Compliant",AND(C6="Qualitative Baseline", COUNTIF(D12:D15,"Non-compliant")=0, COUNTIF(D12:D15,"Compliant with issues")&lt;2, D12&lt;&gt;"",D13&lt;&gt;"",D14&lt;&gt;"",D15&lt;&gt;""),"Fully Compliant")</f>
        <v>Year 1 results - to be completed</v>
      </c>
      <c r="K12" s="288" t="s">
        <v>480</v>
      </c>
      <c r="L12" s="288"/>
      <c r="M12" s="288"/>
      <c r="N12" s="288"/>
      <c r="O12" s="17"/>
      <c r="P12" s="17"/>
      <c r="Q12" s="17"/>
      <c r="R12" s="17"/>
      <c r="S12" s="17"/>
      <c r="T12" s="17"/>
      <c r="U12" s="17"/>
      <c r="V12" s="17"/>
    </row>
    <row r="13" spans="1:52" ht="30" customHeight="1" x14ac:dyDescent="0.2">
      <c r="A13" s="17"/>
      <c r="B13" s="27">
        <v>4</v>
      </c>
      <c r="C13" s="47" t="s">
        <v>640</v>
      </c>
      <c r="D13" s="29" t="str" cm="1">
        <f t="array" ref="D13">_xlfn.IFS(I55="","", I55&lt;0.25,"Non-compliant",AND(I55&gt;=0.25,I55&lt;0.58),"Compliant with issues",I55&gt;=0.58,"Fully compliant")</f>
        <v>Compliant with issues</v>
      </c>
      <c r="E13" s="29" t="str" cm="1">
        <f t="array" ref="E13">_xlfn.IFS(OR(P78="",P79="",P80=""),"",AVERAGE(P78:P80)&lt;0.25,"Non-compliant",AND(AVERAGE(P78:P80)&gt;=0.25,AVERAGE(P78:P80)&lt;0.58),"Compliant with issues",AVERAGE(P78:P80)&gt;=0.58,"Fully compliant")</f>
        <v/>
      </c>
      <c r="F13" s="29" t="str" cm="1">
        <f t="array" ref="F13">_xlfn.IFS(OR(Q78="",Q79="",Q80=""),"",AVERAGE(Q78:Q80)&lt;0.25,"Non-compliant",AND(AVERAGE(Q78:Q80)&gt;=0.25,AVERAGE(Q78:Q80)&lt;0.58),"Compliant with issues",AVERAGE(Q78:Q80)&gt;=0.58,"Fully compliant")</f>
        <v/>
      </c>
      <c r="G13" s="29" t="str" cm="1">
        <f t="array" ref="G13">_xlfn.IFS(OR(R78="",R79="",R80=""),"",AVERAGE(R78:R80)&lt;0.25,"Non-compliant",AND(AVERAGE(R78:R80)&gt;=0.25,AVERAGE(R78:R80)&lt;0.58),"Compliant with issues",AVERAGE(R78:R80)&gt;=0.58,"Fully compliant")</f>
        <v/>
      </c>
      <c r="H13" s="17"/>
      <c r="I13" s="42"/>
      <c r="J13" s="350"/>
      <c r="K13" s="288"/>
      <c r="L13" s="288"/>
      <c r="M13" s="288"/>
      <c r="N13" s="288"/>
      <c r="O13" s="17"/>
      <c r="P13" s="17"/>
      <c r="Q13" s="17"/>
      <c r="R13" s="17"/>
      <c r="S13" s="17"/>
      <c r="T13" s="17"/>
      <c r="U13" s="17"/>
      <c r="V13" s="17"/>
    </row>
    <row r="14" spans="1:52" ht="30" customHeight="1" x14ac:dyDescent="0.2">
      <c r="A14" s="17"/>
      <c r="B14" s="27">
        <v>5</v>
      </c>
      <c r="C14" s="97" t="s">
        <v>641</v>
      </c>
      <c r="D14" s="29" t="str" cm="1">
        <f t="array" ref="D14">_xlfn.IFS(I55="","", I55&lt;0.25,"Non-compliant",AND(I55&gt;=0.25,I55&lt;0.58),"Compliant with issues",I55&gt;=0.58,"Fully compliant")</f>
        <v>Compliant with issues</v>
      </c>
      <c r="E14" s="29" t="str" cm="1">
        <f t="array" ref="E14">_xlfn.IFS(OR(P81="",P82="",P83="",P84=""),"",AVERAGE(P81:P84)&lt;0.25,"Non-compliant",AND(AVERAGE(P81:P84)&gt;=0.25,AVERAGE(P81:P84)&lt;0.58),"Compliant with issues",AVERAGE(P81:P84)&gt;=0.58,"Fully compliant")</f>
        <v/>
      </c>
      <c r="F14" s="29" t="str" cm="1">
        <f t="array" ref="F14">_xlfn.IFS(OR(Q81="",Q82="",Q83="",Q84=""),"",AVERAGE(Q81:Q84)&lt;0.25,"Non-compliant",AND(AVERAGE(Q81:Q84)&gt;=0.25,AVERAGE(Q81:Q84)&lt;0.58),"Compliant with issues",AVERAGE(Q81:Q84)&gt;=0.58,"Fully compliant")</f>
        <v/>
      </c>
      <c r="G14" s="29" t="str" cm="1">
        <f t="array" ref="G14">_xlfn.IFS(OR(R81="",R82="",R83="",R84=""),"",AVERAGE(R81:R84)&lt;0.25,"Non-compliant",AND(AVERAGE(R81:R84)&gt;=0.25,AVERAGE(R81:R84)&lt;0.58),"Compliant with issues",AVERAGE(R81:R84)&gt;=0.58,"Fully compliant")</f>
        <v/>
      </c>
      <c r="H14" s="17"/>
      <c r="I14" s="35" t="e" cm="1">
        <f t="array" ref="I14">_xlfn.IFS(C6="Qualitative Baseline",INDEX(H18:H21,SMALL(IF(SMALL(D18:D21,2)=D18:D21,ROW($D$18:$D$21)-ROW($D$18)+1),3)),C6="Year 1",INDEX(H18:H21,SMALL(IF(SMALL(E18:E21,2)=E18:E21,ROW($E$18:$E$21)-ROW($E$18)+1),3)),C6="Year 2",INDEX(H18:H21,SMALL(IF(SMALL(F18:F21,2)=F18:F21,ROW($F$18:$F$21)-ROW($F$18)+1),3)),C6="Year 3",INDEX(H18:H21,SMALL(IF(SMALL(G18:G21,2)=G18:G21,ROW($G$18:$G$21)-ROW($G$18)+1),3)))</f>
        <v>#NUM!</v>
      </c>
      <c r="J14" s="350"/>
      <c r="K14" s="288"/>
      <c r="L14" s="288"/>
      <c r="M14" s="288"/>
      <c r="N14" s="288"/>
      <c r="O14" s="17"/>
      <c r="P14" s="17"/>
      <c r="Q14" s="17"/>
      <c r="R14" s="17"/>
      <c r="S14" s="17"/>
      <c r="T14" s="17"/>
      <c r="U14" s="17"/>
      <c r="V14" s="17"/>
    </row>
    <row r="15" spans="1:52" ht="30" customHeight="1" x14ac:dyDescent="0.2">
      <c r="A15" s="17"/>
      <c r="B15" s="27">
        <v>6</v>
      </c>
      <c r="C15" s="97" t="s">
        <v>642</v>
      </c>
      <c r="D15" s="29" t="str" cm="1">
        <f t="array" ref="D15">_xlfn.IFS(I63="","", I63&lt;0.25,"Non-compliant",AND(I63&gt;=0.25,I63&lt;0.58),"Compliant with issues",I63&gt;=0.58,"Fully compliant")</f>
        <v>Fully compliant</v>
      </c>
      <c r="E15" s="29" t="str" cm="1">
        <f t="array" ref="E15">_xlfn.IFS(OR(P85="",P86="",P87="",P88="", P89="", P90=""),"",AVERAGE(P85:P90)&lt;0.25,"Non-compliant",AND(AVERAGE(P85:P90)&gt;=0.25,AVERAGE(P85:P90)&lt;0.58),"Compliant with issues",AVERAGE(P85:P90)&gt;=0.58,"Fully compliant")</f>
        <v/>
      </c>
      <c r="F15" s="29" t="str" cm="1">
        <f t="array" ref="F15">_xlfn.IFS(OR(Q85="",Q86="",Q87="",Q88="", Q89="", Q90=""),"",AVERAGE(Q85:Q90)&lt;0.25,"Non-compliant",AND(AVERAGE(Q85:Q90)&gt;=0.25,AVERAGE(Q85:Q90)&lt;0.58),"Compliant with issues",AVERAGE(Q85:Q90)&gt;=0.58,"Fully compliant")</f>
        <v/>
      </c>
      <c r="G15" s="29" t="str" cm="1">
        <f t="array" ref="G15">_xlfn.IFS(OR(R85="",R86="",R87="",R88="", R89="", R90=""),"",AVERAGE(R85:R90)&lt;0.25,"Non-compliant",AND(AVERAGE(R85:R90)&gt;=0.25,AVERAGE(R85:R90)&lt;0.58),"Compliant with issues",AVERAGE(R85:R90)&gt;=0.58,"Fully compliant")</f>
        <v/>
      </c>
      <c r="H15" s="17"/>
      <c r="I15" s="35" t="e" cm="1">
        <f t="array" ref="I15">_xlfn.IFS(C6="Qualitative Baseline",INDEX(H18:H21,SMALL(IF(SMALL(D18:D21,2)=D18:D21,ROW($D$18:$D$21)-ROW($D$18)+1),2)),C6="Year 1",INDEX(H18:H21,SMALL(IF(SMALL(E18:E21,2)=E18:E21,ROW($E$18:$E$21)-ROW($E$18)+1),2)),C6="Year 2",INDEX(H18:H21,SMALL(IF(SMALL(F18:F21,2)=F18:F21,ROW($F$18:$F$21)-ROW($F$18)+1),2)),C6="Year 3",INDEX(H18:H21,SMALL(IF(SMALL(G18:G21,2)=G18:G21,ROW($G$18:$G$21)-ROW($G$18)+1),2)))</f>
        <v>#NUM!</v>
      </c>
      <c r="J15" s="350"/>
      <c r="K15" s="288"/>
      <c r="L15" s="288"/>
      <c r="M15" s="288"/>
      <c r="N15" s="288"/>
      <c r="O15" s="17"/>
      <c r="P15" s="17"/>
      <c r="Q15" s="17"/>
      <c r="R15" s="17"/>
      <c r="S15" s="17"/>
      <c r="T15" s="17"/>
      <c r="U15" s="17"/>
      <c r="V15" s="17"/>
    </row>
    <row r="16" spans="1:52" ht="15" customHeight="1" x14ac:dyDescent="0.2">
      <c r="A16" s="17"/>
      <c r="B16" s="17"/>
      <c r="C16" s="17"/>
      <c r="D16" s="17"/>
      <c r="E16" s="17"/>
      <c r="F16" s="17"/>
      <c r="G16" s="17"/>
      <c r="H16" s="17"/>
      <c r="I16" s="17"/>
      <c r="J16" s="17"/>
      <c r="K16" s="17"/>
      <c r="L16" s="17"/>
      <c r="M16" s="17"/>
      <c r="N16" s="17"/>
      <c r="O16" s="17"/>
      <c r="P16" s="17"/>
      <c r="Q16" s="17"/>
      <c r="R16" s="17"/>
      <c r="S16" s="17"/>
      <c r="T16" s="17"/>
      <c r="U16" s="17"/>
      <c r="V16" s="17"/>
    </row>
    <row r="17" spans="1:22" ht="30" x14ac:dyDescent="0.2">
      <c r="A17" s="17"/>
      <c r="B17" s="17"/>
      <c r="C17" s="120" t="s">
        <v>375</v>
      </c>
      <c r="D17" s="26" t="s">
        <v>228</v>
      </c>
      <c r="E17" s="26" t="str">
        <f>IF(OR(AND(EN_PF_Year3!D20="Year 1",EN_PF_Year3!D21="In-depth (Qualitative baseline)"), AND(EN_PF_YearY!D20="Year 1",EN_PF_YearY!D21="In-depth (Qualitative baseline)"), AND(EN_PF_YearZ!D20="Year 1",EN_PF_YearZ!D21="In-depth (Qualitative baseline)")), "Year 1 Q. B.","Year 1")</f>
        <v>Year 1</v>
      </c>
      <c r="F17" s="26" t="str">
        <f>IF(OR(AND(EN_PF_Year3!D20="Year 2",EN_PF_Year3!D21="In-depth (Qualitative baseline)"), AND(EN_PF_YearY!D20="Year 2",EN_PF_YearY!D21="In-depth (Qualitative baseline)"), AND(EN_PF_YearZ!D20="Year 2",EN_PF_YearZ!D21="In-depth (Qualitative baseline)")), "Year 2 Q. B.","Year 2")</f>
        <v>Year 2</v>
      </c>
      <c r="G17" s="26" t="str">
        <f>IF(OR(AND(EN_PF_Year3!D20="Year 3",EN_PF_Year3!D21="In-depth (Qualitative baseline)"),AND(EN_PF_YearY!D20="Year 3",EN_PF_YearY!D21="In-depth (Qualitative baseline)"),AND(EN_PF_YearZ!D20="Year 3",EN_PF_YearZ!D21="In-depth (Qualitative baseline)")),"Year 3 Q. B.","Year 3")</f>
        <v>Year 3</v>
      </c>
      <c r="H17" s="17"/>
      <c r="I17" s="294" t="str">
        <f>_xlfn.CONCAT("Proposed ", C6)</f>
        <v>Proposed Year 1</v>
      </c>
      <c r="J17" s="295"/>
      <c r="K17" s="26" t="s">
        <v>228</v>
      </c>
      <c r="L17" s="26" t="str">
        <f>IF(OR(AND(EN_PF_Year3!D20="Year 1",EN_PF_Year3!D21="In-depth (Qualitative baseline)"), AND(EN_PF_YearY!D20="Year 1",EN_PF_YearY!D21="In-depth (Qualitative baseline)"), AND(EN_PF_YearZ!D20="Year 1",EN_PF_YearZ!D21="In-depth (Qualitative baseline)")), "Year 1 Q. B.","Year 1")</f>
        <v>Year 1</v>
      </c>
      <c r="M17" s="26" t="str">
        <f>IF(OR(AND(EN_PF_Year3!D20="Year 2",EN_PF_Year3!D21="In-depth (Qualitative baseline)"), AND(EN_PF_YearY!D20="Year 2",EN_PF_YearY!D21="In-depth (Qualitative baseline)"), AND(EN_PF_YearZ!D20="Year 2",EN_PF_YearZ!D21="In-depth (Qualitative baseline)")), "Year 2 Q. B.","Year 2")</f>
        <v>Year 2</v>
      </c>
      <c r="N17" s="26" t="str">
        <f>IF(OR(AND(EN_PF_Year3!D20="Year 3",EN_PF_Year3!D21="In-depth (Qualitative baseline)"),AND(EN_PF_YearY!D20="Year 3",EN_PF_YearY!D21="In-depth (Qualitative baseline)"),AND(EN_PF_YearZ!D20="Year 3",EN_PF_YearZ!D21="In-depth (Qualitative baseline)")),"Year 3 Q. B.","Year 3")</f>
        <v>Year 3</v>
      </c>
      <c r="O17" s="17"/>
      <c r="P17" s="17"/>
      <c r="Q17" s="17"/>
      <c r="R17" s="17"/>
      <c r="S17" s="17"/>
      <c r="T17" s="17"/>
      <c r="U17" s="17"/>
      <c r="V17" s="17"/>
    </row>
    <row r="18" spans="1:22" ht="30" customHeight="1" x14ac:dyDescent="0.2">
      <c r="A18" s="17"/>
      <c r="B18" s="17"/>
      <c r="C18" s="30" t="s">
        <v>110</v>
      </c>
      <c r="D18" s="31">
        <f>I51</f>
        <v>0.5</v>
      </c>
      <c r="E18" s="31" t="str">
        <f>J51</f>
        <v/>
      </c>
      <c r="F18" s="31" t="str">
        <f>K51</f>
        <v/>
      </c>
      <c r="G18" s="31" t="str">
        <f>L51</f>
        <v/>
      </c>
      <c r="H18" s="35" t="str">
        <f>C18</f>
        <v>Oversight</v>
      </c>
      <c r="I18" s="290" t="s">
        <v>492</v>
      </c>
      <c r="J18" s="293" t="str" cm="1">
        <f t="array" ref="J18">_xlfn.IFS(AND(C6="Year 3",G18&lt;&gt;"",G19&lt;&gt;"",G20&lt;&gt;"",G21&lt;&gt;""),VLOOKUP(SMALL(G18:G21,1),G18:H21,2,FALSE),AND(C6="Year 3", OR(G18="",G19="",G20="",G21="")),"To be completed",AND(C6="Year 2",F18&lt;&gt;"",F19&lt;&gt;"",F20&lt;&gt;"",F21&lt;&gt;""),VLOOKUP(SMALL(F18:F21,1),F18:H21,3,FALSE),AND(C6="Year 2", OR(F18="",F19="",F20="",F21="")),"To be completed",AND(C6="Year 1",E18&lt;&gt;"",E19&lt;&gt;"",E20&lt;&gt;"",E21&lt;&gt;""),VLOOKUP(SMALL(E18:E21,1),E18:H21,4,FALSE),AND(C6="Year 1", OR(E18="",E19="",E20="",E21="")),"To be completed",AND(C6="Qualitative Baseline",D18&lt;&gt;"",D19&lt;&gt;"",D20&lt;&gt;"",D21&lt;&gt;""),VLOOKUP(SMALL(D18:D21,1),D18:H21,5,FALSE),AND(C6="Qualitative Baseline", OR(D18="",D19="",D20="",D21="")),"To be completed")</f>
        <v>To be completed</v>
      </c>
      <c r="K18" s="289" t="s">
        <v>114</v>
      </c>
      <c r="L18" s="288"/>
      <c r="M18" s="289"/>
      <c r="N18" s="289"/>
      <c r="O18" s="17"/>
      <c r="P18" s="17"/>
      <c r="Q18" s="17"/>
      <c r="R18" s="17"/>
      <c r="S18" s="17"/>
      <c r="T18" s="17"/>
      <c r="U18" s="17"/>
      <c r="V18" s="17"/>
    </row>
    <row r="19" spans="1:22" ht="30" customHeight="1" x14ac:dyDescent="0.2">
      <c r="A19" s="17"/>
      <c r="B19" s="17"/>
      <c r="C19" s="32" t="s">
        <v>113</v>
      </c>
      <c r="D19" s="31">
        <f>I55</f>
        <v>0.5</v>
      </c>
      <c r="E19" s="31" t="str">
        <f>J55</f>
        <v/>
      </c>
      <c r="F19" s="31" t="str">
        <f>K55</f>
        <v/>
      </c>
      <c r="G19" s="31" t="str">
        <f>L55</f>
        <v/>
      </c>
      <c r="H19" s="35" t="str">
        <f t="shared" ref="H19:H21" si="0">C19</f>
        <v>Engagement</v>
      </c>
      <c r="I19" s="291"/>
      <c r="J19" s="293"/>
      <c r="K19" s="289"/>
      <c r="L19" s="288"/>
      <c r="M19" s="289"/>
      <c r="N19" s="289"/>
      <c r="O19" s="17"/>
      <c r="P19" s="17"/>
      <c r="Q19" s="17"/>
      <c r="R19" s="17"/>
      <c r="S19" s="17"/>
      <c r="T19" s="17"/>
      <c r="U19" s="17"/>
      <c r="V19" s="17"/>
    </row>
    <row r="20" spans="1:22" ht="30" customHeight="1" x14ac:dyDescent="0.2">
      <c r="A20" s="17"/>
      <c r="B20" s="17"/>
      <c r="C20" s="33" t="s">
        <v>114</v>
      </c>
      <c r="D20" s="31">
        <f>I59</f>
        <v>0.41666666666666669</v>
      </c>
      <c r="E20" s="31" t="str">
        <f>J59</f>
        <v/>
      </c>
      <c r="F20" s="31" t="str">
        <f>K59</f>
        <v/>
      </c>
      <c r="G20" s="31" t="str">
        <f>L59</f>
        <v/>
      </c>
      <c r="H20" s="35" t="str">
        <f t="shared" si="0"/>
        <v>Positioning</v>
      </c>
      <c r="I20" s="290" t="s">
        <v>493</v>
      </c>
      <c r="J20" s="292" t="str" cm="1">
        <f t="array" ref="J20">IF(AND(_xlfn.IFS(AND(C6="Year 3",G18&lt;&gt;"",G19&lt;&gt;"",G20&lt;&gt;"",G21&lt;&gt;""),VLOOKUP(SMALL(G18:G21,2),G18:H21,2,FALSE),AND(C6="Year 3", OR(G18="",G19="",G20="",G21="")),"",AND(C6="Year 2",F18&lt;&gt;"",F19&lt;&gt;"",F20&lt;&gt;"",F21&lt;&gt;""),VLOOKUP(SMALL(F18:F21,2),F18:H21,3,FALSE),AND(C6="Year 2", OR(F18="",F19="",F20="",F21="")),"",AND(C6="Year 1",E18&lt;&gt;"",E19&lt;&gt;"",E20&lt;&gt;"",E21&lt;&gt;""),VLOOKUP(SMALL(E18:E21,2),E18:H21,4,FALSE),AND(C6="Year 1", OR(E18="",E19="",E20="",E21="")),"",AND(C6="Qualitative Baseline",D18&lt;&gt;"",D19&lt;&gt;"",D20&lt;&gt;"",D21&lt;&gt;""),VLOOKUP(SMALL(D18:D21,2),D18:H21,5,FALSE),AND(C6="Qualitative Baseline", OR(D18="",D19="",D20="",D21="")),"")=J18, J18&lt;&gt;""), I15,_xlfn.IFS(AND(C6="Year 3",G18&lt;&gt;"",G19&lt;&gt;"",G20&lt;&gt;"",G21&lt;&gt;""),VLOOKUP(SMALL(G18:G21,2),G18:H21,2,FALSE),AND(C6="Year 3", OR(G18="",G19="",G20="",G21="")),"",AND(C6="Year 2",F18&lt;&gt;"",F19&lt;&gt;"",F20&lt;&gt;"",F21&lt;&gt;""),VLOOKUP(SMALL(F18:F21,2),F18:H21,3,FALSE),AND(C6="Year 2", OR(F18="",F19="",F20="",F21="")),"",AND(C6="Year 1",E18&lt;&gt;"",E19&lt;&gt;"",E20&lt;&gt;"",E21&lt;&gt;""),VLOOKUP(SMALL(E18:E21,2),E18:H21,4,FALSE),AND(C6="Year 1", OR(E18="",E19="",E20="",E21="")),"",AND(C6="Qualitative Baseline",D18&lt;&gt;"",D19&lt;&gt;"",D20&lt;&gt;"",D21&lt;&gt;""),VLOOKUP(SMALL(D18:D21,2),D18:H21,5,FALSE),AND(C6="Qualitative Baseline", OR(D18="",D19="",D20="",D21="")),""))</f>
        <v/>
      </c>
      <c r="K20" s="289" t="s">
        <v>113</v>
      </c>
      <c r="L20" s="289"/>
      <c r="M20" s="289"/>
      <c r="N20" s="289"/>
      <c r="O20" s="17"/>
      <c r="P20" s="17"/>
      <c r="Q20" s="17"/>
      <c r="R20" s="17"/>
      <c r="S20" s="17"/>
      <c r="T20" s="17"/>
      <c r="U20" s="17"/>
      <c r="V20" s="17"/>
    </row>
    <row r="21" spans="1:22" ht="30" customHeight="1" x14ac:dyDescent="0.2">
      <c r="A21" s="17"/>
      <c r="B21" s="17"/>
      <c r="C21" s="34" t="s">
        <v>118</v>
      </c>
      <c r="D21" s="31">
        <f>I63</f>
        <v>0.75</v>
      </c>
      <c r="E21" s="31" t="str">
        <f>J63</f>
        <v/>
      </c>
      <c r="F21" s="31" t="str">
        <f>K63</f>
        <v/>
      </c>
      <c r="G21" s="31" t="str">
        <f>L63</f>
        <v/>
      </c>
      <c r="H21" s="35" t="str">
        <f t="shared" si="0"/>
        <v>Operations</v>
      </c>
      <c r="I21" s="291"/>
      <c r="J21" s="292"/>
      <c r="K21" s="289"/>
      <c r="L21" s="289"/>
      <c r="M21" s="289"/>
      <c r="N21" s="289"/>
      <c r="O21" s="17"/>
      <c r="P21" s="17"/>
      <c r="Q21" s="17"/>
      <c r="R21" s="17"/>
      <c r="S21" s="17"/>
      <c r="T21" s="17"/>
      <c r="U21" s="17"/>
      <c r="V21" s="17"/>
    </row>
    <row r="22" spans="1:22" ht="30" customHeight="1" x14ac:dyDescent="0.2">
      <c r="A22" s="17"/>
      <c r="B22" s="17"/>
      <c r="C22" s="17"/>
      <c r="D22" s="36"/>
      <c r="E22" s="36"/>
      <c r="F22" s="36"/>
      <c r="G22" s="36"/>
      <c r="H22" s="36"/>
      <c r="I22" s="42"/>
      <c r="J22" s="42" t="str" cm="1">
        <f t="array" ref="J22">IF(AND(_xlfn.IFS(AND(C6="Year 3",G18&lt;&gt;"",G19&lt;&gt;"",G20&lt;&gt;"",G21&lt;&gt;""),VLOOKUP(SMALL(G18:G21,3),G18:H21,2,FALSE),AND(C6="Year 3",OR(G18="",G19="",G20="",G21="")),"",AND(C6="Year 2",F18&lt;&gt;"",F19&lt;&gt;"",F20&lt;&gt;"",F21&lt;&gt;""),VLOOKUP(SMALL(F18:F21,3),F18:H21,3,FALSE),AND(C6="Year 2",OR(F18="",F19="",F20="",F21="")),"",AND(C6="Year 1",E18&lt;&gt;"",E19&lt;&gt;"",E20&lt;&gt;"",E21&lt;&gt;""),VLOOKUP(SMALL(E18:E21,3),E18:H21,4,FALSE),AND(C6="Year 1",OR(E18="",E19="",E20="",E21="")),"",AND(C6="Qualitative Baseline",D18&lt;&gt;"",D19&lt;&gt;"",D20&lt;&gt;"",D21&lt;&gt;""),VLOOKUP(SMALL(D18:D21,3),D18:H21,5,FALSE),AND(C6="Qualitative Baseline",OR(D18="",D19="",D20="",D21="")),"")=J20, J20&lt;&gt;""),I15,_xlfn.IFS(AND(C6="Year 3",G18&lt;&gt;"",G19&lt;&gt;"",G20&lt;&gt;"",G21&lt;&gt;""),VLOOKUP(SMALL(G18:G21,3),G18:H21,2,FALSE),AND(C6="Year 3",OR(G18="",G19="",G20="",G21="")),"",AND(C6="Year 2",F18&lt;&gt;"",F19&lt;&gt;"",F20&lt;&gt;"",F21&lt;&gt;""),VLOOKUP(SMALL(F18:F21,3),F18:H21,3,FALSE),AND(C6="Year 2",OR(F18="",F19="",F20="",F21="")),"",AND(C6="Year 1",E18&lt;&gt;"",E19&lt;&gt;"",E20&lt;&gt;"",E21&lt;&gt;""),VLOOKUP(SMALL(E18:E21,3),E18:H21,4,FALSE),AND(C6="Year 1",OR(E18="",E19="",E20="",E21="")),"",AND(C6="Qualitative Baseline",D18&lt;&gt;"",D19&lt;&gt;"",D20&lt;&gt;"",D21&lt;&gt;""),VLOOKUP(SMALL(D18:D21,3),D18:H21,5,FALSE),AND(C6="Qualitative Baseline",OR(D18="",D19="",D20="",D21="")),""))</f>
        <v/>
      </c>
      <c r="K22" s="233"/>
      <c r="L22" s="17"/>
      <c r="M22" s="17"/>
      <c r="N22" s="101"/>
      <c r="O22" s="17"/>
      <c r="P22" s="17"/>
      <c r="Q22" s="17"/>
      <c r="R22" s="17"/>
      <c r="S22" s="17"/>
      <c r="T22" s="17"/>
      <c r="U22" s="17"/>
      <c r="V22" s="17"/>
    </row>
    <row r="23" spans="1:22" ht="30" customHeight="1" x14ac:dyDescent="0.2">
      <c r="A23" s="17"/>
      <c r="B23" s="17"/>
      <c r="C23" s="17"/>
      <c r="D23" s="36"/>
      <c r="E23" s="36"/>
      <c r="F23" s="36"/>
      <c r="G23" s="36"/>
      <c r="H23" s="36"/>
      <c r="I23" s="348" t="e" cm="1">
        <f t="array" ref="I23">_xlfn.IFS(_xlfn.IFS(C6="Qualitative Baseline", SMALL(D18:D21,4)-SMALL(D18:D21,1)&lt;0.01, C6="Year 1", SMALL(E18:E21,4)-SMALL(E18:E21,1)&lt;0.01, C6="Year 2", SMALL(F18:F21,4)-SMALL(F18:F21,1)&lt;0.01, C6="Year 3", SMALL(G18:G21,4)-SMALL(G18:G21,1)&lt;0.01),"All the areas got the same score.", AND($J$20=IFERROR($I$15, ""), $J$20&lt;&gt;"", IFERROR($I$15, "")&lt;&gt;"",  IFERROR($I$15, "")&lt;&gt; IFERROR($J$22, ""),IFERROR($I$14, "")&lt;&gt;"", IFERROR($J$22, "")=J$18),_xlfn.CONCAT(J18, ", ", J20, " and ", I14, " got the same score."), AND($J$20&lt;&gt;"", IFERROR($I$15, "")&lt;&gt;"",  IFERROR($I$15, "")&lt;&gt; IFERROR($J$22, ""), _xlfn.IFS(C6="Qualitative Baseline", SMALL(D18:D21,4)-SMALL(D18:D21,3)&lt;0.01, C6="Year 1", SMALL(E18:E21,4)-SMALL(E18:E21,3)&lt;0.01, C6="Year 2", SMALL(F18:F21,4)-SMALL(F18:F21,3)&lt;0.01, C6="Year 3", SMALL(G18:G21,4)-SMALL(G18:G21,3)&lt;0.01)), _xlfn.CONCAT(J18, " and ", J20, " got the same score. All the other areas got the second lowest score."), AND($J$20=IFERROR($I$15, ""), $J$20&lt;&gt;"", IFERROR($I$15, "")&lt;&gt;"",  IFERROR($J$22, "")&lt;&gt;""),_xlfn.CONCAT(J18, " and ", J20, " got the same score. ", J22, " is the area with the second lowest score."),,,AND(IFERROR($I$15, "")=IFERROR($J$22, ""),  $J$20&lt;&gt;IFERROR($I$15, ""), $J$20&lt;&gt;"", IFERROR($J$22, "")&lt;&gt;"",_xlfn.IFS(C6="Qualitative Baseline", SMALL(D18:D21,3)-SMALL(D18:D21,1)&lt;0.01, C6="Year 1", SMALL(E18:E21,3)-SMALL(E18:E21,1)&lt;0.01, C6="Year 2", SMALL(F18:F21,3)-SMALL(F18:F21,1)&lt;0.01, C6="Year 3", SMALL(G18:G21,3)-SMALL(G18:G21,1)&lt;0.01)),_xlfn.CONCAT(J18, ", ", J20, " but also a third area, ", J22, ", got the same score."), AND($J$20&lt;&gt;IFERROR($I$15, ""), $J$20&lt;&gt;"", IFERROR($J$22, "")&lt;&gt;"", IFERROR($I$15, "")=IFERROR($J$22, ""), IFERROR($I$14,"")=""),_xlfn.CONCAT(J20, " and ", IFERROR(J22,""),  " got the same score."),  AND($J$20&lt;&gt;IFERROR($I$15, ""), $J$20&lt;&gt;"", IFERROR($J$22, "")&lt;&gt;"", IFERROR($I$15, "")=IFERROR($J$22, ""), IFERROR($I$14,"")&lt;&gt;""), _xlfn.CONCAT(J20, ", ", I14, " and ", IFERROR(J22,""),  " got the same score."),,, AND(IFERROR(J22,"")="", IFERROR(I14,"")="", IFERROR(I15,"")=""),"",OR(J18="", J20=""), "", AND($J$20&lt;&gt;IFERROR($I$15, ""), $J$20&lt;&gt;"", IFERROR($I$14, "")&lt;&gt;IFERROR($J$22, ""), IFERROR($J$22, "")&lt;&gt;""), "")</f>
        <v>#NUM!</v>
      </c>
      <c r="J23" s="349"/>
      <c r="K23" s="349"/>
      <c r="L23" s="349"/>
      <c r="M23" s="349"/>
      <c r="N23" s="349"/>
      <c r="O23" s="349"/>
      <c r="P23" s="17"/>
      <c r="Q23" s="17"/>
      <c r="R23" s="17"/>
      <c r="S23" s="17"/>
      <c r="T23" s="17"/>
      <c r="U23" s="17"/>
      <c r="V23" s="17"/>
    </row>
    <row r="24" spans="1:22" ht="30" customHeight="1" x14ac:dyDescent="0.2">
      <c r="A24" s="17"/>
      <c r="B24" s="17"/>
      <c r="C24" s="17"/>
      <c r="D24" s="36"/>
      <c r="E24" s="36"/>
      <c r="F24" s="36"/>
      <c r="G24" s="36"/>
      <c r="H24" s="36"/>
      <c r="I24" s="36"/>
      <c r="J24" s="36"/>
      <c r="K24" s="36"/>
      <c r="L24" s="36"/>
      <c r="M24" s="36"/>
      <c r="N24" s="36"/>
      <c r="O24" s="36"/>
      <c r="P24" s="17"/>
      <c r="Q24" s="17"/>
      <c r="R24" s="17"/>
      <c r="S24" s="17"/>
      <c r="T24" s="17"/>
      <c r="U24" s="17"/>
      <c r="V24" s="17"/>
    </row>
    <row r="25" spans="1:22" ht="30" customHeight="1" x14ac:dyDescent="0.2">
      <c r="A25" s="17"/>
      <c r="B25" s="17"/>
      <c r="C25" s="17"/>
      <c r="D25" s="36"/>
      <c r="E25" s="36"/>
      <c r="F25" s="36"/>
      <c r="G25" s="36"/>
      <c r="H25" s="36"/>
      <c r="I25" s="310" t="s">
        <v>472</v>
      </c>
      <c r="J25" s="311"/>
      <c r="K25" s="311"/>
      <c r="L25" s="311"/>
      <c r="M25" s="312"/>
      <c r="N25" s="105"/>
      <c r="O25" s="36"/>
      <c r="P25" s="17"/>
      <c r="Q25" s="17"/>
      <c r="R25" s="17"/>
      <c r="S25" s="17"/>
      <c r="T25" s="17"/>
      <c r="U25" s="17"/>
      <c r="V25" s="17"/>
    </row>
    <row r="26" spans="1:22" ht="30" customHeight="1" x14ac:dyDescent="0.2">
      <c r="A26" s="17"/>
      <c r="B26" s="17"/>
      <c r="C26" s="17"/>
      <c r="D26" s="36"/>
      <c r="E26" s="36"/>
      <c r="F26" s="36"/>
      <c r="G26" s="36"/>
      <c r="H26" s="36"/>
      <c r="I26" s="330" t="s">
        <v>476</v>
      </c>
      <c r="J26" s="331"/>
      <c r="K26" s="331"/>
      <c r="L26" s="331"/>
      <c r="M26" s="332"/>
      <c r="N26" s="106"/>
      <c r="O26" s="36"/>
      <c r="P26" s="17"/>
      <c r="Q26" s="17"/>
      <c r="R26" s="17"/>
      <c r="S26" s="17"/>
      <c r="T26" s="17"/>
      <c r="U26" s="17"/>
      <c r="V26" s="17"/>
    </row>
    <row r="27" spans="1:22" ht="30" customHeight="1" x14ac:dyDescent="0.2">
      <c r="A27" s="17"/>
      <c r="B27" s="17"/>
      <c r="C27" s="17"/>
      <c r="D27" s="36"/>
      <c r="E27" s="36"/>
      <c r="F27" s="36"/>
      <c r="G27" s="36"/>
      <c r="H27" s="36"/>
      <c r="O27" s="36"/>
      <c r="P27" s="17"/>
      <c r="Q27" s="17"/>
      <c r="R27" s="17"/>
      <c r="S27" s="17"/>
      <c r="T27" s="17"/>
      <c r="U27" s="17"/>
      <c r="V27" s="17"/>
    </row>
    <row r="28" spans="1:22" ht="30" customHeight="1" x14ac:dyDescent="0.2">
      <c r="A28" s="17"/>
      <c r="B28" s="17"/>
      <c r="C28" s="17"/>
      <c r="D28" s="36"/>
      <c r="E28" s="36"/>
      <c r="F28" s="36"/>
      <c r="G28" s="36"/>
      <c r="H28" s="36"/>
      <c r="I28" s="361" t="s">
        <v>481</v>
      </c>
      <c r="J28" s="361"/>
      <c r="K28" s="361"/>
      <c r="L28" s="361"/>
      <c r="M28" s="361"/>
      <c r="N28" s="361"/>
      <c r="O28" s="36"/>
      <c r="P28" s="17"/>
      <c r="Q28" s="17"/>
      <c r="R28" s="17"/>
      <c r="S28" s="17"/>
      <c r="T28" s="17"/>
      <c r="U28" s="17"/>
      <c r="V28" s="17"/>
    </row>
    <row r="29" spans="1:22" ht="30" customHeight="1" x14ac:dyDescent="0.2">
      <c r="A29" s="17"/>
      <c r="B29" s="17"/>
      <c r="C29" s="17"/>
      <c r="D29" s="36"/>
      <c r="E29" s="36"/>
      <c r="F29" s="36"/>
      <c r="G29" s="36"/>
      <c r="H29" s="36"/>
      <c r="I29" s="359" t="s">
        <v>248</v>
      </c>
      <c r="J29" s="359"/>
      <c r="K29" s="359"/>
      <c r="L29" s="359"/>
      <c r="M29" s="359"/>
      <c r="N29" s="359"/>
      <c r="O29" s="36"/>
      <c r="P29" s="17"/>
      <c r="Q29" s="17"/>
      <c r="R29" s="17"/>
      <c r="S29" s="17"/>
      <c r="T29" s="17"/>
      <c r="U29" s="17"/>
      <c r="V29" s="17"/>
    </row>
    <row r="30" spans="1:22" ht="30" customHeight="1" x14ac:dyDescent="0.2">
      <c r="A30" s="17"/>
      <c r="B30" s="17"/>
      <c r="C30" s="17"/>
      <c r="D30" s="36"/>
      <c r="E30" s="36"/>
      <c r="F30" s="36"/>
      <c r="G30" s="36"/>
      <c r="H30" s="36"/>
      <c r="I30" s="360" t="s">
        <v>249</v>
      </c>
      <c r="J30" s="360"/>
      <c r="K30" s="360"/>
      <c r="L30" s="360"/>
      <c r="M30" s="360"/>
      <c r="N30" s="360"/>
      <c r="O30" s="17"/>
      <c r="P30" s="17"/>
      <c r="Q30" s="17"/>
      <c r="R30" s="17"/>
      <c r="S30" s="17"/>
      <c r="T30" s="17"/>
      <c r="U30" s="17"/>
      <c r="V30" s="17"/>
    </row>
    <row r="31" spans="1:22" ht="30" customHeight="1" x14ac:dyDescent="0.2">
      <c r="A31" s="17"/>
      <c r="B31" s="17"/>
      <c r="C31" s="17"/>
      <c r="D31" s="36"/>
      <c r="E31" s="36"/>
      <c r="F31" s="36"/>
      <c r="G31" s="36"/>
      <c r="H31" s="36"/>
      <c r="I31" s="304" t="s">
        <v>247</v>
      </c>
      <c r="J31" s="305"/>
      <c r="K31" s="305"/>
      <c r="L31" s="305"/>
      <c r="M31" s="305"/>
      <c r="N31" s="306"/>
      <c r="O31" s="17"/>
      <c r="P31" s="17"/>
      <c r="Q31" s="17"/>
      <c r="R31" s="17"/>
      <c r="S31" s="17"/>
      <c r="T31" s="17"/>
      <c r="U31" s="17"/>
      <c r="V31" s="17"/>
    </row>
    <row r="32" spans="1:22" ht="30" customHeight="1" x14ac:dyDescent="0.2">
      <c r="A32" s="17"/>
      <c r="B32" s="17"/>
      <c r="C32" s="17"/>
      <c r="D32" s="36"/>
      <c r="E32" s="36"/>
      <c r="F32" s="36"/>
      <c r="G32" s="36"/>
      <c r="H32" s="36"/>
      <c r="I32" s="307" t="s">
        <v>331</v>
      </c>
      <c r="J32" s="308"/>
      <c r="K32" s="308"/>
      <c r="L32" s="308"/>
      <c r="M32" s="308"/>
      <c r="N32" s="309"/>
      <c r="O32" s="17"/>
      <c r="P32" s="17"/>
      <c r="Q32" s="17"/>
      <c r="R32" s="17"/>
      <c r="S32" s="17"/>
      <c r="T32" s="17"/>
      <c r="U32" s="17"/>
      <c r="V32" s="17"/>
    </row>
    <row r="33" spans="1:22" ht="30" customHeight="1" x14ac:dyDescent="0.2">
      <c r="A33" s="17"/>
      <c r="B33" s="17"/>
      <c r="C33" s="17"/>
      <c r="D33" s="36"/>
      <c r="E33" s="36"/>
      <c r="F33" s="36"/>
      <c r="G33" s="36"/>
      <c r="H33" s="36"/>
      <c r="I33" s="17"/>
      <c r="J33" s="17"/>
      <c r="K33" s="17"/>
      <c r="L33" s="17"/>
      <c r="M33" s="17"/>
      <c r="N33" s="89"/>
      <c r="O33" s="89"/>
      <c r="P33" s="17"/>
      <c r="Q33" s="17"/>
      <c r="R33" s="17"/>
      <c r="S33" s="17"/>
      <c r="T33" s="17"/>
      <c r="U33" s="17"/>
      <c r="V33" s="17"/>
    </row>
    <row r="34" spans="1:22" ht="30" customHeight="1" x14ac:dyDescent="0.2">
      <c r="A34" s="17"/>
      <c r="B34" s="17"/>
      <c r="C34" s="17"/>
      <c r="D34" s="17"/>
      <c r="E34" s="368" t="s">
        <v>507</v>
      </c>
      <c r="F34" s="368"/>
      <c r="G34" s="368"/>
      <c r="H34" s="121"/>
      <c r="I34" s="17"/>
      <c r="J34" s="17"/>
      <c r="K34" s="17"/>
      <c r="L34" s="17"/>
      <c r="M34" s="17"/>
      <c r="N34" s="89"/>
      <c r="O34" s="89"/>
      <c r="P34" s="17"/>
      <c r="Q34" s="17"/>
      <c r="R34" s="17"/>
      <c r="S34" s="17"/>
      <c r="T34" s="17"/>
      <c r="U34" s="17"/>
      <c r="V34" s="17"/>
    </row>
    <row r="35" spans="1:22" ht="30" customHeight="1" x14ac:dyDescent="0.2">
      <c r="A35" s="17"/>
      <c r="B35" s="17"/>
      <c r="C35" s="294" t="str" cm="1">
        <f t="array" ref="C35">_xlfn.IFS(AND(C6="Qualitative Baseline",D7=""), "% change. Proposed for : Year 1 disbursement", AND(C6="Qualitative Baseline",D7&lt;&gt;"", I7=""), "% change. Proposed for : Year 2 disbursement", AND(C6="Qualitative Baseline",D7&lt;&gt;"", I7&lt;&gt;""), "% change. Proposed for : Year 3 disbursement", AND(C6="Year 1",D7=""), "% change. Proposed for : Year 2 disbursement", AND(C6="Year 1",D7&lt;&gt;""), "",  AND(C6="Year 2",I7=""), "% change. Proposed for : Year 3 disbursement", AND(C6="Year 2",I7&lt;&gt;""), "", C6="Year 3", "% change. Proposed for next funding agreement (if applicable)")</f>
        <v>% change. Proposed for : Year 2 disbursement</v>
      </c>
      <c r="D35" s="295"/>
      <c r="E35" s="95" t="s">
        <v>508</v>
      </c>
      <c r="F35" s="95" t="s">
        <v>509</v>
      </c>
      <c r="G35" s="94" t="s">
        <v>510</v>
      </c>
      <c r="H35" s="94" t="s">
        <v>511</v>
      </c>
      <c r="I35" s="17"/>
      <c r="J35" s="17"/>
      <c r="K35" s="17"/>
      <c r="L35" s="17"/>
      <c r="M35" s="17"/>
      <c r="N35" s="89"/>
      <c r="O35" s="17"/>
      <c r="P35" s="17"/>
      <c r="Q35" s="17"/>
      <c r="R35" s="17"/>
      <c r="S35" s="17"/>
      <c r="T35" s="17"/>
      <c r="U35" s="17"/>
      <c r="V35" s="17"/>
    </row>
    <row r="36" spans="1:22" ht="30" customHeight="1" x14ac:dyDescent="0.2">
      <c r="A36" s="17"/>
      <c r="B36" s="17"/>
      <c r="C36" s="362" t="s">
        <v>506</v>
      </c>
      <c r="D36" s="364" t="str" cm="1">
        <f t="array" ref="D36">IF(OR(C6="Qualitative Baseline", J18="To be completed"), "To be confirmed",_xlfn.IFS($C$6&lt;&gt;"Year 3",0%,AND($C$6="Year 3",G18=""),0%,AND($C$6="Year 3",G18&lt;&gt;"", F18&lt;&gt;""),_xlfn.IFS(G18&lt;F18,-5%,AND(F18&gt;65%,G18&gt;F18),5%,AND(F18&gt;65%,G18=F18),2%,AND(F18&lt;=65%,G18-F18&gt;15%),5%,AND(F18&lt;=65%,G18&gt;F18,G18-F18&lt;=15%),3%,AND(F18&lt;=65%,G18=F18),0%),AND($C$6="Year 3",G18&lt;&gt;"", F18="", E18&lt;&gt;""),_xlfn.IFS(G18&lt;E18,-5%,AND(E18&gt;65%,G18&gt;E18),5%,AND(E18&gt;65%,G18=E18),2%,AND(E18&lt;=65%,G18-E18&gt;15%),5%,AND(E18&lt;=65%,G18&gt;E18,G18-E18&lt;15%),3%,AND(E18&lt;=65%,G18=E18),0%), AND($C$6="Year 3",G18&lt;&gt;"", F18="", E18="", D18&lt;&gt;""), _xlfn.IFS(G18&lt;D18,-5%,AND(D18&gt;65%,G18&gt;D18),5%,AND(D18&gt;65%,G18=D18),2%,AND(D18&lt;=65%,G18-D18&gt;15%),5%,AND(D18&lt;=65%,G18&gt;D18,G18-D18&lt;=15%),3%,AND(D18&lt;=65%,G18=D18),0%), AND($C$6="Year 3",G18&lt;&gt;"", OR(F18="",E18="", D18="")),0%,J18="To be completed","To be completed")+_xlfn.IFS($C$6&lt;&gt;"Year 3",0%,AND($C$6="Year 3",G19=""),0%,AND($C$6="Year 3",G19&lt;&gt;"", F19&lt;&gt;""),_xlfn.IFS(G19&lt;F19,-5%,AND(F19&gt;65%,G19&gt;F19),5%,AND(F19&gt;65%,G19=F19),2%,AND(F19&lt;=65%,G19-F19&gt;15%),5%,AND(F19&lt;=65%,G19&gt;F19,G19-F19&lt;=15%),3%,AND(F19&lt;=65%,G19=F19),0%),AND($C$6="Year 3",G19&lt;&gt;"", F19="", E19&lt;&gt;""),_xlfn.IFS(G19&lt;E19,-5%,AND(E19&gt;65%,G19&gt;E19),5%,AND(E19&gt;65%,G19=E19),2%,AND(E19&lt;=65%,G19-E19&gt;15%),5%,AND(E19&lt;=65%,G19&gt;E19,G19-E19&lt;15%),3%,AND(E19&lt;=65%,G19=E19),0%), AND($C$6="Year 3",G19&lt;&gt;"", F19="", E19="", D19&lt;&gt;""), _xlfn.IFS(G19&lt;D19,-5%,AND(D19&gt;65%,G19&gt;D19),5%,AND(D19&gt;65%,G19=D19),2%,AND(D19&lt;=65%,G19-D19&gt;15%),5%,AND(D19&lt;=65%,G19&gt;D19,G19-D19&lt;15%),3%,AND(D19&lt;=65%,G19=D19),0%), AND($C$6="Year 3",G19&lt;&gt;"", OR(F19="",E19="", D19="")),0%,$J$8="To be completed","To be completed")+_xlfn.IFS($C$6&lt;&gt;"Year 3",0%,AND($C$6="Year 3",G20=""),0%,AND($C$6="Year 3",G20&lt;&gt;"", F20&lt;&gt;""),_xlfn.IFS(G20&lt;F20,-5%,AND(F20&gt;65%,G20&gt;F20),5%,AND(F20&gt;65%,G20=F20),2%,AND(F20&lt;=65%,G20-F20&gt;15%),5%,AND(F20&lt;=65%,G20&gt;F20,G20-F20&lt;=15%),3%,AND(F20&lt;=65%,G20=F20),0%),AND($C$6="Year 3",G20&lt;&gt;"", F20="", E20&lt;&gt;""),_xlfn.IFS(G20&lt;E20,-5%,AND(E20&gt;65%,G20&gt;E20),5%,AND(E20&gt;65%,G20=E20),2%,AND(E20&lt;=65%,G20-E20&gt;15%),5%,AND(E20&lt;=65%,G20&gt;E20,G20-E20&lt;15%),3%,AND(E20&lt;=65%,G20=E20),0%), AND($C$6="Year 3",G20&lt;&gt;"", F20="", E20="", D20&lt;&gt;""), _xlfn.IFS(G20&lt;D20,-5%,AND(D20&gt;65%,G20&gt;D20),5%,AND(D20&gt;65%,G20=D20),2%,AND(D20&lt;=65%,G20-D20&gt;15%),5%,AND(D20&lt;=65%,G20&gt;D20,G20-D20&lt;15%),3%,AND(D20&lt;=65%,G20=D20),0%), AND($C$6="Year 3",G20&lt;&gt;"", OR(F20="",E20="", D20="")),0%,$J$8="To be completed","To be completed")+_xlfn.IFS($C$6&lt;&gt;"Year 3",0%,AND($C$6="Year 3",G21=""),0%,AND($C$6="Year 3",G21&lt;&gt;"", F21&lt;&gt;""),_xlfn.IFS(G21&lt;F21,-5%,AND(F21&gt;65%,G21&gt;F21),5%,AND(F21&gt;65%,G21=F21),2%,AND(F21&lt;=65%,G21-F21&gt;15%),5%,AND(F21&lt;=65%,G21&gt;F21,G21-F21&lt;=15%),3%,AND(F21&lt;=65%,G21=F21),0%),AND($C$6="Year 3",G21&lt;&gt;"", F21="", E21&lt;&gt;""),_xlfn.IFS(G21&lt;E21,-5%,AND(E21&gt;65%,G21&gt;E21),5%,AND(E21&gt;65%,G21=E21),2%,AND(E21&lt;=65%,G21-E21&gt;15%),5%,AND(E21&lt;=65%,G21&gt;E21,G21-E21&lt;15%),3%,AND(E21&lt;=65%,G21=E21),0%), AND($C$6="Year 3",G21&lt;&gt;"", F21="", E21="", D21&lt;&gt;""), _xlfn.IFS(G21&lt;D21,-5%,AND(D21&gt;65%,G21&gt;D21),5%,AND(D21&gt;65%,G21=D21),2%,AND(D21&lt;=65%,G21-D21&gt;15%),5%,AND(D21&lt;=65%,G21&gt;D21,G21-D21&lt;15%),3%,AND(D21&lt;=65%,G21=D21),0%), AND($C$6="Year 3",G21&lt;&gt;"", OR(F21="",E21="", D21="")),0%,$J$8="To be completed","To be completed")+_xlfn.IFS($C$6&lt;&gt;"Year 2",0%,AND($C$6="Year 2",F18=""),0%,AND($C$6="Year 2",F18&lt;&gt;"", E18&lt;&gt;""),_xlfn.IFS(F18&lt;E18,-5%,AND(E18&gt;65%,F18&gt;E18),5%,AND(E18&gt;65%,F18=E18),2%,AND(E18&lt;=65%,F18-E18&gt;15%),5%,AND(E18&lt;=65%,F18&gt;E18,F18-E18&lt;=15%),3%,AND(E18&lt;=65%,F18=E18),0%),AND($C$6="Year 2",F18&lt;&gt;"", E18="", D18&lt;&gt;""),_xlfn.IFS(F18&lt;D18,-5%,AND(D18&gt;65%,F18&gt;D18),5%,AND(D18&gt;65%,F18=D18),2%,AND(D18&lt;=65%,F18-D18&gt;15%),5%,AND(D18&lt;=65%,F18&gt;D18,F18-D18&lt;=15%),3%,AND(D18&lt;=65%,F18=D18),0%), AND($C$6="Year 2",F18&lt;&gt;"", OR(E18="",D18="")),0%,$J$8="To be completed","To be completed")+_xlfn.IFS($C$6&lt;&gt;"Year 2",0%,AND($C$6="Year 2",F19=""),0%,AND($C$6="Year 2",F19&lt;&gt;"", E19&lt;&gt;""),_xlfn.IFS(F19&lt;E19,-5%,AND(E19&gt;65%,F19&gt;E19),5%,AND(E19&gt;65%,F19=E19),2%,AND(E19&lt;=65%,F19-E19&gt;15%),5%,AND(E19&lt;=65%,F19&gt;E19,F19-E19&lt;=15%),3%,AND(E19&lt;=65%,F19=E19),0%),AND($C$6="Year 2",F19&lt;&gt;"", E19="", D19&lt;&gt;""),_xlfn.IFS(F19&lt;D19,-5%,AND(D19&gt;65%,F19&gt;D19),5%,AND(D19&gt;65%,F19=D19),2%,AND(D19&lt;=65%,F19-D19&gt;15%),5%,AND(D19&lt;=65%,F19&gt;D19,F19-D19&lt;15%),3%,AND(D19&lt;=65%,F19=D19),0%), AND($C$6="Year 2",F19&lt;&gt;"", OR(E19="",D19="")),0%,$J$8="To be completed","To be completed")+_xlfn.IFS($C$6&lt;&gt;"Year 2",0%,AND($C$6="Year 2",F20=""),0%,AND($C$6="Year 2",F20&lt;&gt;"", E20&lt;&gt;""),_xlfn.IFS(F20&lt;E20,-5%,AND(E20&gt;65%,F20&gt;E20),5%,AND(E20&gt;65%,F20=E20),2%,AND(E20&lt;=65%,F20-E20&gt;15%),5%,AND(E20&lt;=65%,F20&gt;E20,F20-E20&lt;=15%),3%,AND(E20&lt;=65%,F20=E20),0%),AND($C$6="Year 2",F20&lt;&gt;"", E20="", D20&lt;&gt;""),_xlfn.IFS(F20&lt;D20,-5%,AND(D20&gt;65%,F20&gt;D20),5%,AND(D20&gt;65%,F20=D20),2%,AND(D20&lt;=65%,F20-D20&gt;15%),5%,AND(D20&lt;=65%,F20&gt;D20,F20-D20&lt;15%),3%,AND(D20&lt;=65%,F20=D20),0%), AND($C$6="Year 2",F20&lt;&gt;"", OR(E20="",D20="")),0%,$J$8="To be completed","To be completed")+_xlfn.IFS($C$6&lt;&gt;"Year 2",0%,AND($C$6="Year 2",F21=""),0%,AND($C$6="Year 2",F21&lt;&gt;"", E21&lt;&gt;""),_xlfn.IFS(F21&lt;E21,-5%,AND(E21&gt;65%,F21&gt;E21),5%,AND(E21&gt;65%,F21=E21),2%,AND(E21&lt;=65%,F21-E21&gt;15%),5%,AND(E21&lt;=65%,F21&gt;E21,F21-E21&lt;=15%),3%,AND(E21&lt;=65%,F21=E21),0%),AND($C$6="Year 2",F21&lt;&gt;"", E21="", D21&lt;&gt;""),_xlfn.IFS(F21&lt;D21,-5%,AND(D21&gt;65%,F21&gt;D21),5%,AND(D21&gt;65%,F21=D21),2%,AND(D21&lt;=65%,F21-D21&gt;15%),5%,AND(D21&lt;=65%,F21&gt;D21,F21-D21&lt;15%),3%,AND(D21&lt;=65%,F21=D21),0%), AND($C$6="Year 2",F21&lt;&gt;"", OR(E21="",D21="")),0%,$J$8="To be completed","To be completed")+_xlfn.IFS($C$6&lt;&gt;"Year 1",0%,AND($C$6="Year 1",E18=""),0%,AND($C$6="Year 1",E18&lt;&gt;"", D18&lt;&gt;""),_xlfn.IFS(E18&lt;D18,-5%,AND(D18&gt;65%,E18&gt;D18),5%,AND(D18&gt;65%,E18=D18),2%,AND(D18&lt;=65%,E18-D18&gt;15%),5%,AND(D18&lt;=65%,E18&gt;D18,E18-D18&lt;=15%),3%,AND(D18&lt;=65%,E18=D18),0%),AND($C$6="Year 1",E18&lt;&gt;"", D18=""),0%,$J$8="To be completed","To be completed")+_xlfn.IFS($C$6&lt;&gt;"Year 1",0%,AND($C$6="Year 1",E19=""),0%,AND($C$6="Year 1",E19&lt;&gt;"", D19&lt;&gt;""),_xlfn.IFS(E19&lt;D19,-5%,AND(D19&gt;65%,E19&gt;D19),5%,AND(D19&gt;65%,E19=D19),2%,AND(D19&lt;=65%,E19-D19&gt;15%),5%,AND(D19&lt;=65%,E19&gt;D19,E19-D19&lt;=15%),3%,AND(D19&lt;=65%,E19=D19),0%), AND($C$6="Year 1",E19&lt;&gt;"", D19=""),0%)+_xlfn.IFS($C$6&lt;&gt;"Year 1",0%,AND($C$6="Year 1",E20=""),0%,AND($C$6="Year 1",E20&lt;&gt;"", D20&lt;&gt;""),_xlfn.IFS(E20&lt;D20,-5%,AND(D20&gt;65%,E20&gt;D20),5%,AND(D20&gt;65%,E20=D20),2%,AND(D20&lt;=65%,E20-D20&gt;15%),5%,AND(D20&lt;=65%,E20&gt;D20,E20-D20&lt;=15%),3%,AND(D20&lt;=65%,E20=D20),0%), AND($C$6="Year 1",E20&lt;&gt;"", D20=""),0%)+_xlfn.IFS($C$6&lt;&gt;"Year 1",0%,AND($C$6="Year 1",E21=""),0%,AND($C$6="Year 1",E21&lt;&gt;"", D21&lt;&gt;""),_xlfn.IFS(E21&lt;D21,-5%,AND(D21&gt;65%,E21&gt;D21),5%,AND(D21&gt;65%,E21=D21),2%,AND(D21&lt;=65%,E21-D21&gt;15%),5%,AND(D21&lt;=65%,E21&gt;D21,E21-D21&lt;=15%),3%,AND(D21&lt;=65%,E21=D21),0%),AND($C$6="Year 1",E21&lt;&gt;"", D21=""),0%))</f>
        <v>To be confirmed</v>
      </c>
      <c r="E36" s="365"/>
      <c r="F36" s="366"/>
      <c r="G36" s="367"/>
      <c r="H36" s="367"/>
      <c r="I36" s="17"/>
      <c r="J36" s="17"/>
      <c r="K36" s="17"/>
      <c r="L36" s="17"/>
      <c r="M36" s="17"/>
      <c r="N36" s="89"/>
      <c r="O36" s="17"/>
      <c r="P36" s="17"/>
      <c r="Q36" s="17"/>
      <c r="R36" s="17"/>
      <c r="S36" s="17"/>
      <c r="T36" s="17"/>
      <c r="U36" s="17"/>
      <c r="V36" s="17"/>
    </row>
    <row r="37" spans="1:22" ht="30" customHeight="1" x14ac:dyDescent="0.2">
      <c r="A37" s="17"/>
      <c r="B37" s="17"/>
      <c r="C37" s="363"/>
      <c r="D37" s="364"/>
      <c r="E37" s="365"/>
      <c r="F37" s="366"/>
      <c r="G37" s="367"/>
      <c r="H37" s="367"/>
      <c r="I37" s="17"/>
      <c r="J37" s="17"/>
      <c r="K37" s="17"/>
      <c r="L37" s="17"/>
      <c r="M37" s="17"/>
      <c r="N37" s="89"/>
      <c r="O37" s="89"/>
      <c r="P37" s="17"/>
      <c r="Q37" s="17"/>
      <c r="R37" s="17"/>
      <c r="S37" s="17"/>
      <c r="T37" s="17"/>
      <c r="U37" s="17"/>
      <c r="V37" s="17"/>
    </row>
    <row r="38" spans="1:22" ht="15" customHeight="1" x14ac:dyDescent="0.2">
      <c r="A38" s="17"/>
      <c r="B38" s="17"/>
      <c r="C38" s="17"/>
      <c r="D38" s="17"/>
      <c r="E38" s="115"/>
      <c r="F38" s="17"/>
      <c r="G38" s="17"/>
      <c r="H38" s="17"/>
      <c r="I38" s="89"/>
      <c r="J38" s="89"/>
      <c r="K38" s="89"/>
      <c r="L38" s="89"/>
      <c r="M38" s="89"/>
      <c r="N38" s="89"/>
      <c r="O38" s="89"/>
      <c r="P38" s="17"/>
      <c r="Q38" s="17"/>
      <c r="R38" s="17"/>
      <c r="S38" s="17"/>
      <c r="T38" s="17"/>
      <c r="U38" s="17"/>
      <c r="V38" s="17"/>
    </row>
    <row r="39" spans="1:22" ht="30" customHeight="1" x14ac:dyDescent="0.2">
      <c r="A39" s="17"/>
      <c r="B39" s="354" t="s">
        <v>512</v>
      </c>
      <c r="C39" s="355"/>
      <c r="D39" s="356" t="s">
        <v>513</v>
      </c>
      <c r="E39" s="357"/>
      <c r="F39" s="357"/>
      <c r="G39" s="357"/>
      <c r="H39" s="357"/>
      <c r="I39" s="358"/>
      <c r="J39" s="356" t="s">
        <v>514</v>
      </c>
      <c r="K39" s="357"/>
      <c r="L39" s="357"/>
      <c r="M39" s="357"/>
      <c r="N39" s="357"/>
      <c r="O39" s="358"/>
      <c r="P39" s="17"/>
      <c r="Q39" s="17"/>
      <c r="R39" s="17"/>
      <c r="S39" s="17"/>
      <c r="T39" s="17"/>
      <c r="U39" s="17"/>
      <c r="V39" s="17"/>
    </row>
    <row r="40" spans="1:22" ht="23.1" customHeight="1" x14ac:dyDescent="0.2">
      <c r="A40" s="17"/>
      <c r="B40" s="301" t="str">
        <f>IF(K18&lt;&gt;"",K18,"")</f>
        <v>Positioning</v>
      </c>
      <c r="C40" s="104"/>
      <c r="D40" s="301" t="str">
        <f>IF(L18&lt;&gt;"",L18,"")</f>
        <v/>
      </c>
      <c r="E40" s="317"/>
      <c r="F40" s="318"/>
      <c r="G40" s="318"/>
      <c r="H40" s="318"/>
      <c r="I40" s="319"/>
      <c r="J40" s="301" t="str">
        <f>IF(M18&lt;&gt;"",M18,"")</f>
        <v/>
      </c>
      <c r="K40" s="329"/>
      <c r="L40" s="329"/>
      <c r="M40" s="329"/>
      <c r="N40" s="329"/>
      <c r="O40" s="329"/>
      <c r="P40" s="17"/>
      <c r="Q40" s="17"/>
      <c r="R40" s="17"/>
      <c r="S40" s="17"/>
      <c r="T40" s="17"/>
      <c r="U40" s="17"/>
      <c r="V40" s="17"/>
    </row>
    <row r="41" spans="1:22" ht="23.1" customHeight="1" x14ac:dyDescent="0.2">
      <c r="A41" s="17"/>
      <c r="B41" s="302"/>
      <c r="C41" s="104"/>
      <c r="D41" s="302"/>
      <c r="E41" s="317"/>
      <c r="F41" s="318"/>
      <c r="G41" s="318"/>
      <c r="H41" s="318"/>
      <c r="I41" s="319"/>
      <c r="J41" s="302"/>
      <c r="K41" s="329"/>
      <c r="L41" s="329"/>
      <c r="M41" s="329"/>
      <c r="N41" s="329"/>
      <c r="O41" s="329"/>
      <c r="P41" s="17"/>
      <c r="Q41" s="17"/>
      <c r="R41" s="17"/>
      <c r="S41" s="17"/>
      <c r="T41" s="17"/>
      <c r="U41" s="17"/>
      <c r="V41" s="17"/>
    </row>
    <row r="42" spans="1:22" ht="23.1" customHeight="1" x14ac:dyDescent="0.2">
      <c r="A42" s="17"/>
      <c r="B42" s="303"/>
      <c r="C42" s="104"/>
      <c r="D42" s="303"/>
      <c r="E42" s="317"/>
      <c r="F42" s="318"/>
      <c r="G42" s="318"/>
      <c r="H42" s="318"/>
      <c r="I42" s="319"/>
      <c r="J42" s="303"/>
      <c r="K42" s="329"/>
      <c r="L42" s="329"/>
      <c r="M42" s="329"/>
      <c r="N42" s="329"/>
      <c r="O42" s="329"/>
      <c r="P42" s="17"/>
      <c r="Q42" s="17"/>
      <c r="R42" s="17"/>
      <c r="S42" s="17"/>
      <c r="T42" s="17"/>
      <c r="U42" s="17"/>
      <c r="V42" s="17"/>
    </row>
    <row r="43" spans="1:22" ht="23.1" customHeight="1" x14ac:dyDescent="0.2">
      <c r="A43" s="17"/>
      <c r="B43" s="301" t="str">
        <f>IF(K20&lt;&gt;"",K20,"")</f>
        <v>Engagement</v>
      </c>
      <c r="C43" s="104"/>
      <c r="D43" s="301" t="str">
        <f>IF(L20&lt;&gt;"",L20,"")</f>
        <v/>
      </c>
      <c r="E43" s="317"/>
      <c r="F43" s="318"/>
      <c r="G43" s="318"/>
      <c r="H43" s="318"/>
      <c r="I43" s="319"/>
      <c r="J43" s="301" t="str">
        <f>IF(M20&lt;&gt;"",M20,"")</f>
        <v/>
      </c>
      <c r="K43" s="329"/>
      <c r="L43" s="329"/>
      <c r="M43" s="329"/>
      <c r="N43" s="329"/>
      <c r="O43" s="329"/>
      <c r="P43" s="17"/>
      <c r="Q43" s="17"/>
      <c r="R43" s="17"/>
      <c r="S43" s="17"/>
      <c r="T43" s="17"/>
      <c r="U43" s="17"/>
      <c r="V43" s="17"/>
    </row>
    <row r="44" spans="1:22" ht="23.1" customHeight="1" x14ac:dyDescent="0.2">
      <c r="A44" s="17"/>
      <c r="B44" s="302"/>
      <c r="C44" s="104"/>
      <c r="D44" s="302"/>
      <c r="E44" s="317"/>
      <c r="F44" s="318"/>
      <c r="G44" s="318"/>
      <c r="H44" s="318"/>
      <c r="I44" s="319"/>
      <c r="J44" s="302"/>
      <c r="K44" s="329"/>
      <c r="L44" s="329"/>
      <c r="M44" s="329"/>
      <c r="N44" s="329"/>
      <c r="O44" s="329"/>
      <c r="P44" s="17"/>
      <c r="Q44" s="17"/>
      <c r="R44" s="17"/>
      <c r="S44" s="17"/>
      <c r="T44" s="17"/>
      <c r="U44" s="17"/>
      <c r="V44" s="17"/>
    </row>
    <row r="45" spans="1:22" ht="23.1" customHeight="1" x14ac:dyDescent="0.2">
      <c r="A45" s="17"/>
      <c r="B45" s="303"/>
      <c r="C45" s="104"/>
      <c r="D45" s="303"/>
      <c r="E45" s="317"/>
      <c r="F45" s="318"/>
      <c r="G45" s="318"/>
      <c r="H45" s="318"/>
      <c r="I45" s="319"/>
      <c r="J45" s="303"/>
      <c r="K45" s="329"/>
      <c r="L45" s="329"/>
      <c r="M45" s="329"/>
      <c r="N45" s="329"/>
      <c r="O45" s="329"/>
      <c r="P45" s="17"/>
      <c r="Q45" s="17"/>
      <c r="R45" s="17"/>
      <c r="S45" s="17"/>
      <c r="T45" s="17"/>
      <c r="U45" s="17"/>
      <c r="V45" s="17"/>
    </row>
    <row r="46" spans="1:22" ht="15" customHeight="1" thickBot="1" x14ac:dyDescent="0.25">
      <c r="A46" s="17"/>
      <c r="B46" s="17"/>
      <c r="C46" s="17"/>
      <c r="D46" s="17"/>
      <c r="E46" s="17"/>
      <c r="F46" s="17"/>
      <c r="G46" s="17"/>
      <c r="H46" s="17"/>
      <c r="I46" s="17"/>
      <c r="J46" s="17"/>
      <c r="K46" s="17"/>
      <c r="L46" s="17"/>
      <c r="M46" s="17"/>
      <c r="N46" s="99"/>
      <c r="O46" s="17"/>
      <c r="P46" s="17"/>
      <c r="Q46" s="17"/>
      <c r="R46" s="17"/>
      <c r="S46" s="17"/>
      <c r="T46" s="17"/>
      <c r="U46" s="17"/>
      <c r="V46" s="17"/>
    </row>
    <row r="47" spans="1:22" ht="30.6" customHeight="1" thickBot="1" x14ac:dyDescent="0.25">
      <c r="A47" s="325" t="s">
        <v>174</v>
      </c>
      <c r="B47" s="326"/>
      <c r="C47" s="326"/>
      <c r="D47" s="326"/>
      <c r="E47" s="326"/>
      <c r="F47" s="326"/>
      <c r="G47" s="326"/>
      <c r="H47" s="326"/>
      <c r="I47" s="326"/>
      <c r="J47" s="326"/>
      <c r="K47" s="326"/>
      <c r="L47" s="326"/>
      <c r="M47" s="326"/>
      <c r="N47" s="326"/>
      <c r="O47" s="326"/>
      <c r="P47" s="326"/>
      <c r="Q47" s="326"/>
      <c r="R47" s="326"/>
      <c r="S47" s="326"/>
      <c r="T47" s="326"/>
      <c r="U47" s="326"/>
      <c r="V47" s="327"/>
    </row>
    <row r="48" spans="1:22" ht="15" customHeight="1" x14ac:dyDescent="0.2">
      <c r="A48" s="17"/>
      <c r="B48" s="4"/>
      <c r="C48" s="4"/>
      <c r="D48" s="38"/>
      <c r="E48" s="17"/>
      <c r="F48" s="17"/>
      <c r="G48" s="17"/>
      <c r="H48" s="17"/>
      <c r="I48" s="17"/>
      <c r="J48" s="17"/>
      <c r="K48" s="17"/>
      <c r="L48" s="17"/>
      <c r="M48" s="17"/>
      <c r="N48" s="99"/>
      <c r="O48" s="17"/>
      <c r="P48" s="17"/>
      <c r="Q48" s="17"/>
      <c r="R48" s="17"/>
      <c r="S48" s="17"/>
      <c r="T48" s="17"/>
      <c r="U48" s="17"/>
      <c r="V48" s="17"/>
    </row>
    <row r="49" spans="1:30" ht="16.350000000000001" customHeight="1" x14ac:dyDescent="0.25">
      <c r="A49" s="17"/>
      <c r="B49" s="4"/>
      <c r="C49" s="4"/>
      <c r="D49" s="321" t="s">
        <v>216</v>
      </c>
      <c r="E49" s="321"/>
      <c r="F49" s="321"/>
      <c r="G49" s="321"/>
      <c r="H49" s="17"/>
      <c r="I49" s="328" t="s">
        <v>216</v>
      </c>
      <c r="J49" s="328"/>
      <c r="K49" s="328"/>
      <c r="L49" s="328"/>
      <c r="M49" s="39"/>
      <c r="N49" s="75"/>
      <c r="O49" s="17"/>
      <c r="P49" s="17"/>
      <c r="Q49" s="17"/>
      <c r="R49" s="17"/>
      <c r="S49" s="17"/>
      <c r="T49" s="17"/>
      <c r="U49" s="17"/>
      <c r="V49" s="17"/>
    </row>
    <row r="50" spans="1:30" ht="41.1" customHeight="1" x14ac:dyDescent="0.25">
      <c r="A50" s="17"/>
      <c r="B50" s="94" t="s">
        <v>148</v>
      </c>
      <c r="C50" s="94" t="s">
        <v>150</v>
      </c>
      <c r="D50" s="94" t="s">
        <v>477</v>
      </c>
      <c r="E50" s="95" t="str">
        <f>IF(OR(AND(EN_PF_Year3!D20="Year 1",EN_PF_Year3!D21="In-depth (Qualitative baseline)"), AND(EN_PF_YearY!D20="Year 1",EN_PF_YearY!D21="In-depth (Qualitative baseline)"), AND(EN_PF_YearZ!D20="Year 1",EN_PF_YearZ!D21="In-depth (Qualitative baseline)")), "Year 1 Q. B.","Year 1")</f>
        <v>Year 1</v>
      </c>
      <c r="F50" s="95" t="str">
        <f>IF(OR(AND(EN_PF_Year3!D20="Year 2",EN_PF_Year3!D21="In-depth (Qualitative baseline)"), AND(EN_PF_YearY!D20="Year 2",EN_PF_YearY!D21="In-depth (Qualitative baseline)"), AND(EN_PF_YearZ!D20="Year 2",EN_PF_YearZ!D21="In-depth (Qualitative baseline)")), "Year 2 Q. B.","Year 2")</f>
        <v>Year 2</v>
      </c>
      <c r="G50" s="95" t="str">
        <f>IF(OR(AND(EN_PF_Year3!D20="Year 3",EN_PF_Year3!D21="In-depth (Qualitative baseline)"),AND(EN_PF_YearY!D20="Year 3",EN_PF_YearY!D21="In-depth (Qualitative baseline)"),AND(EN_PF_YearZ!D20="Year 3",EN_PF_YearZ!D21="In-depth (Qualitative baseline)")),"Year 3 Q. B.","Year 3")</f>
        <v>Year 3</v>
      </c>
      <c r="H50" s="40"/>
      <c r="I50" s="94" t="s">
        <v>477</v>
      </c>
      <c r="J50" s="95" t="str">
        <f>IF(OR(AND(EN_PF_Year3!D20="Year 1",EN_PF_Year3!D21="In-depth (Qualitative baseline)"), AND(EN_PF_YearY!D20="Year 1",EN_PF_YearY!D21="In-depth (Qualitative baseline)"), AND(EN_PF_YearZ!D20="Year 1",EN_PF_YearZ!D21="In-depth (Qualitative baseline)")), "Year 1 Q. B.","Year 1")</f>
        <v>Year 1</v>
      </c>
      <c r="K50" s="95" t="str">
        <f>IF(OR(AND(EN_PF_Year3!D20="Year 2",EN_PF_Year3!D21="In-depth (Qualitative baseline)"), AND(EN_PF_YearY!D20="Year 2",EN_PF_YearY!D21="In-depth (Qualitative baseline)"), AND(EN_PF_YearZ!D20="Year 2",EN_PF_YearZ!D21="In-depth (Qualitative baseline)")), "Year 2 Q. B.","Year 2")</f>
        <v>Year 2</v>
      </c>
      <c r="L50" s="95" t="str">
        <f>IF(OR(AND(EN_PF_Year3!D20="Year 3",EN_PF_Year3!D21="In-depth (Qualitative baseline)"),AND(EN_PF_YearY!D20="Year 3",EN_PF_YearY!D21="In-depth (Qualitative baseline)"),AND(EN_PF_YearZ!D20="Year 3",EN_PF_YearZ!D21="In-depth (Qualitative baseline)")),"Year 3 Q. B.","Year 3")</f>
        <v>Year 3</v>
      </c>
      <c r="M50" s="15"/>
      <c r="N50" s="118"/>
      <c r="O50" s="35"/>
      <c r="P50" s="35"/>
      <c r="Q50" s="35"/>
      <c r="R50" s="35"/>
      <c r="S50" s="35"/>
      <c r="T50" s="35"/>
      <c r="U50" s="35"/>
      <c r="V50" s="35"/>
      <c r="W50" s="35"/>
      <c r="X50" s="35"/>
      <c r="Z50" s="35" t="s">
        <v>403</v>
      </c>
      <c r="AA50" s="35" t="s">
        <v>403</v>
      </c>
      <c r="AB50" s="128" t="s">
        <v>473</v>
      </c>
      <c r="AC50" s="128" t="s">
        <v>474</v>
      </c>
      <c r="AD50" s="128" t="s">
        <v>475</v>
      </c>
    </row>
    <row r="51" spans="1:30" ht="70.349999999999994" customHeight="1" x14ac:dyDescent="0.25">
      <c r="A51" s="43"/>
      <c r="B51" s="322" t="s">
        <v>110</v>
      </c>
      <c r="C51" s="47" t="s">
        <v>175</v>
      </c>
      <c r="D51" s="208">
        <f>IF(EN_EvolutionThreshold_Transfer!D14="","",EN_EvolutionThreshold_Transfer!D14)</f>
        <v>2</v>
      </c>
      <c r="E51" s="44" t="str" cm="1">
        <f t="array" ref="E51">_xlfn.IFS(AND(OR(EN_PF_Year3!D20="Year 1",EN_PF_Year3!J14 =1),SUM(EN_PF_Year3!L26:'EN_PF_Year3'!L28)/9&lt;&gt;"",EN_PF_Year3!L26&lt;&gt;"",EN_PF_Year3!L27&lt;&gt;"",EN_PF_Year3!L28&lt;&gt;""),SUM(EN_PF_Year3!L26:'EN_PF_Year3'!L28)/9,AND(OR(EN_PF_YearY!D20="Year 1",EN_PF_YearY!J14 =1),SUM(EN_PF_YearY!L26:'EN_PF_YearY'!L28)/9&lt;&gt;"",EN_PF_YearY!L26&lt;&gt;"",EN_PF_YearY!L27&lt;&gt;"",EN_PF_YearY!L28&lt;&gt;""),SUM(EN_PF_YearY!L26:'EN_PF_YearY'!L28)/9,AND(OR(EN_PF_YearZ!D20="Year 1",EN_PF_YearZ!J14 =1),SUM(EN_PF_YearZ!L26:'EN_PF_YearZ'!L28)/9&lt;&gt;"",EN_PF_YearZ!L26&lt;&gt;"",EN_PF_YearZ!L27&lt;&gt;"",EN_PF_YearZ!L28&lt;&gt;""),SUM(EN_PF_YearZ!L26:'EN_PF_YearZ'!L28)/9,AND(EN_PF_Year3!D20&lt;&gt;"Year 1",EN_PF_Year3!J14 &lt;&gt;1,EN_PF_YearY!D20&lt;&gt;"Year 1",EN_PF_YearY!J14 &lt;&gt;1,EN_PF_YearZ!D20&lt;&gt;"Year 1",EN_PF_YearZ!J14 &lt;&gt;1),"",AND(OR(EN_PF_Year3!D20="Year 1",EN_PF_Year3!J14 =1),OR(EN_PF_Year3!L26="",EN_PF_Year3!L27="",EN_PF_Year3!L28="")),"",AND(OR(EN_PF_YearY!D20="Year 1",EN_PF_YearY!J14 =1),OR(EN_PF_YearY!L26="",EN_PF_YearY!L27="",EN_PF_YearY!L28="") ),"",AND(OR(EN_PF_YearZ!D20="Year 1",EN_PF_YearZ!J14 =1),OR(EN_PF_YearZ!L26="",EN_PF_YearZ!L27="",EN_PF_YearZ!L28="") ),"")</f>
        <v/>
      </c>
      <c r="F51" s="44" t="str" cm="1">
        <f t="array" ref="F51">_xlfn.IFS(AND(OR(EN_PF_Year3!D20="Year 2",EN_PF_Year3!J14 =2),SUM(EN_PF_Year3!L26:'EN_PF_Year3'!L28)/9&lt;&gt;"",EN_PF_Year3!L26&lt;&gt;"",EN_PF_Year3!L27&lt;&gt;"",EN_PF_Year3!L28&lt;&gt;""),SUM(EN_PF_Year3!L26:'EN_PF_Year3'!L28)/9,AND(OR(EN_PF_YearY!D20="Year 2",EN_PF_YearY!J14 =2),SUM(EN_PF_YearY!L26:'EN_PF_YearY'!L28)/9&lt;&gt;"",EN_PF_YearY!L26&lt;&gt;"",EN_PF_YearY!L27&lt;&gt;"",EN_PF_YearY!L28&lt;&gt;""),SUM(EN_PF_YearY!L26:'EN_PF_YearY'!L28)/9,AND(OR(EN_PF_YearZ!D20="Year 2",EN_PF_YearZ!J14 =2),SUM(EN_PF_YearZ!L26:'EN_PF_YearZ'!L28)/9&lt;&gt;"",EN_PF_YearZ!L26&lt;&gt;"",EN_PF_YearZ!L27&lt;&gt;"",EN_PF_YearZ!L28&lt;&gt;""),SUM(EN_PF_YearZ!L26:'EN_PF_YearZ'!L28)/9,AND(EN_PF_Year3!D20&lt;&gt;"Year 2",EN_PF_Year3!J14 &lt;&gt;2,EN_PF_YearY!D20&lt;&gt;"Year 2",EN_PF_YearY!J14 &lt;&gt;2,EN_PF_YearZ!D20&lt;&gt;"Year 2",EN_PF_YearZ!J14 &lt;&gt;2),"",AND(OR(EN_PF_YearZ!D20="Year 2",EN_PF_YearZ!J14 =2),OR(EN_PF_YearZ!L26="",EN_PF_YearZ!L27="",EN_PF_YearZ!L28="")),"",AND(OR(EN_PF_Year3!D20="Year 2",EN_PF_Year3!J14 =2),OR(EN_PF_Year3!L26="",EN_PF_Year3!L27="",EN_PF_Year3!L28="")),"",AND(OR(EN_PF_YearY!D20="Year 2",EN_PF_YearY!J14 =2),OR(EN_PF_YearY!L26="",EN_PF_YearY!L27="",EN_PF_YearY!L28="")),"")</f>
        <v/>
      </c>
      <c r="G51" s="44" t="str" cm="1">
        <f t="array" ref="G51">_xlfn.IFS(AND(OR(EN_PF_Year3!D20="Year 3",EN_PF_Year3!J14 =3),SUM(EN_PF_Year3!L26:'EN_PF_Year3'!L28)/9&lt;&gt;"",EN_PF_Year3!L26&lt;&gt;"",EN_PF_Year3!L27&lt;&gt;"",EN_PF_Year3!L28&lt;&gt;""),SUM(EN_PF_Year3!L26:'EN_PF_Year3'!L28)/9,AND(OR(EN_PF_YearY!D20="Year 3",EN_PF_YearY!J14 =3),SUM(EN_PF_YearY!L26:'EN_PF_YearY'!L28)/9&lt;&gt;"",EN_PF_YearY!L26&lt;&gt;"",EN_PF_YearY!L27&lt;&gt;"",EN_PF_YearY!L28&lt;&gt;""),SUM(EN_PF_YearY!L26:'EN_PF_YearY'!L28)/9,AND(OR(EN_PF_YearZ!D20="Year 3",EN_PF_YearZ!J14 =3),SUM(EN_PF_YearZ!L26:'EN_PF_YearZ'!L28)/9&lt;&gt;"",EN_PF_YearZ!L26&lt;&gt;"",EN_PF_YearZ!L27&lt;&gt;"",EN_PF_YearZ!L28&lt;&gt;""),SUM(EN_PF_YearZ!L26:'EN_PF_YearZ'!L28)/9,AND(EN_PF_Year3!D20&lt;&gt;"Year 3",EN_PF_Year3!J14 &lt;&gt;3,EN_PF_YearY!D20&lt;&gt;"Year 3",EN_PF_YearY!J14 &lt;&gt;3,EN_PF_YearZ!D20&lt;&gt;"Year 3",EN_PF_YearZ!J14 &lt;&gt;3),"",AND(OR(EN_PF_YearZ!D20="Year 3",EN_PF_YearZ!J14 =3),OR(EN_PF_YearZ!L26="",EN_PF_YearZ!L27="",EN_PF_YearZ!L28="")),"",AND(OR(EN_PF_Year3!D20="Year 3",EN_PF_Year3!J14 =3),OR(EN_PF_Year3!L26="",EN_PF_Year3!L27="",EN_PF_Year3!L28="")),"",AND(OR(EN_PF_YearY!D20="Year 3",EN_PF_YearY!J14 =3),OR(EN_PF_YearY!L26="",EN_PF_YearY!L27="",EN_PF_YearY!L28="")),"")</f>
        <v/>
      </c>
      <c r="H51" s="40"/>
      <c r="I51" s="337" cm="1">
        <f t="array" ref="I51">_xlfn.IFS(AND(D51&lt;&gt;"",D52&lt;&gt;"",D53&lt;&gt;"",D54&lt;&gt;""),SUM(D51:D54)/12,OR(D51="",D52="",D53="",D54=""),"")</f>
        <v>0.5</v>
      </c>
      <c r="J51" s="320" t="str" cm="1">
        <f t="array" ref="J51">_xlfn.IFS(AND(E51&lt;&gt;"",E52&lt;&gt;"",E53&lt;&gt;"",E54&lt;&gt;""),AVERAGE(E51:E54),OR(E51="",E52="",E53="",E54=""),"")</f>
        <v/>
      </c>
      <c r="K51" s="333" t="str" cm="1">
        <f t="array" ref="K51">_xlfn.IFS(AND(F51&lt;&gt;"",F52&lt;&gt;"",F53&lt;&gt;"",F54&lt;&gt;""),AVERAGE(F51:F54),OR(F51="",F52="",F53="",F54=""),"")</f>
        <v/>
      </c>
      <c r="L51" s="333" t="str" cm="1">
        <f t="array" ref="L51">_xlfn.IFS(AND(G51&lt;&gt;"",G52&lt;&gt;"",G53&lt;&gt;"",G54&lt;&gt;""),AVERAGE(G51:G54),OR(G51="",G52="",G53="",G54=""),"")</f>
        <v/>
      </c>
      <c r="M51" s="39"/>
      <c r="N51" s="119" t="str" cm="1">
        <f t="array" ref="N51">_xlfn.IFS(D51="","", D51=0,"0",D51=1,"1", D51=2,"2",D51=3,"3")</f>
        <v>2</v>
      </c>
      <c r="O51" s="35"/>
      <c r="P51" s="35"/>
      <c r="Q51" s="35"/>
      <c r="R51" s="35"/>
      <c r="S51" s="35"/>
      <c r="T51" s="35"/>
      <c r="U51" s="35"/>
      <c r="V51" s="35"/>
      <c r="W51" s="35"/>
      <c r="X51" s="35"/>
      <c r="AB51" s="64">
        <v>0.25</v>
      </c>
      <c r="AC51" s="65">
        <v>0.57999999999999996</v>
      </c>
      <c r="AD51" s="65">
        <v>0.9</v>
      </c>
    </row>
    <row r="52" spans="1:30" ht="70.349999999999994" customHeight="1" x14ac:dyDescent="0.25">
      <c r="A52" s="43"/>
      <c r="B52" s="323"/>
      <c r="C52" s="47" t="s">
        <v>176</v>
      </c>
      <c r="D52" s="208">
        <f>IF(EN_EvolutionThreshold_Transfer!D15="","",EN_EvolutionThreshold_Transfer!D15)</f>
        <v>2</v>
      </c>
      <c r="E52" s="44" t="str" cm="1">
        <f t="array" ref="E52">_xlfn.IFS(AND(OR(EN_PF_Year3!$D$20="Year 1",EN_PF_Year3!$J$14 =1),EN_PF_Year3!L29/3&lt;&gt;"",EN_PF_Year3!L29&lt;&gt;""),EN_PF_Year3!L29/3,AND(OR(EN_PF_YearY!D20="Year 1",EN_PF_YearY!J14 =1),EN_PF_YearY!L29/3&lt;&gt;"",EN_PF_YearY!L29&lt;&gt;""),EN_PF_YearY!L29/3,AND(OR(EN_PF_YearZ!D20="Year 1",EN_PF_YearZ!J14 =1),EN_PF_YearZ!L29/3&lt;&gt;"",EN_PF_YearZ!L29&lt;&gt;""),EN_PF_YearZ!L29/3,AND(EN_PF_Year3!D20&lt;&gt;"Year 1",EN_PF_Year3!J14 &lt;&gt;1,EN_PF_YearY!D20&lt;&gt;"Year 1",EN_PF_YearY!J14 &lt;&gt;1,EN_PF_YearZ!D20&lt;&gt;"Year 1",EN_PF_YearZ!J14 &lt;&gt;1),"",AND(OR(EN_PF_Year3!$D$20="Year 1",EN_PF_Year3!$J$14 =1),EN_PF_Year3!L29=""),"",AND(OR(EN_PF_YearY!$D$20="Year 1",EN_PF_YearY!$J$14 =1),EN_PF_YearY!L29=""),"",AND(OR(EN_PF_YearZ!$D$20="Year 1",EN_PF_YearZ!$J$14 =1),EN_PF_YearZ!L29=""),"")</f>
        <v/>
      </c>
      <c r="F52" s="44" t="str" cm="1">
        <f t="array" ref="F52">_xlfn.IFS(AND(OR(EN_PF_Year3!$D$20="Year 2",EN_PF_Year3!$J$14 =2),EN_PF_Year3!L29/3&lt;&gt;"",EN_PF_Year3!L29&lt;&gt;""),EN_PF_Year3!L29/3,AND(OR(EN_PF_YearY!D20="Year 2",EN_PF_YearY!J14 =2),EN_PF_YearY!L29/3&lt;&gt;"",EN_PF_YearY!L29&lt;&gt;""),EN_PF_YearY!L29/3,AND(OR(EN_PF_YearZ!D20="Year 2",EN_PF_YearZ!J14 =2),EN_PF_YearZ!L29/3&lt;&gt;"",EN_PF_YearZ!L29&lt;&gt;""),EN_PF_YearZ!L29/3,AND(EN_PF_Year3!D20&lt;&gt;"Year 2",EN_PF_Year3!J14 &lt;&gt;2,EN_PF_YearY!D20&lt;&gt;"Year 2",EN_PF_YearY!J14 &lt;&gt;2,EN_PF_YearZ!D20&lt;&gt;"Year 2",EN_PF_YearZ!J14 &lt;&gt;2),"",AND(OR(EN_PF_Year3!$D$20="Year 2",EN_PF_Year3!$J$14 =2),EN_PF_Year3!L29=""),"",AND(OR(EN_PF_YearY!$D$20="Year 2",EN_PF_YearY!$J$14 =2),EN_PF_YearY!L29=""),"",AND(OR(EN_PF_YearZ!$D$20="Year 2",EN_PF_YearZ!$J$14 =2),EN_PF_YearZ!L29=""),"")</f>
        <v/>
      </c>
      <c r="G52" s="44" t="str" cm="1">
        <f t="array" ref="G52">_xlfn.IFS(AND(OR(EN_PF_Year3!$D$20="Year 3",EN_PF_Year3!$J$14 =3),EN_PF_Year3!L29/3&lt;&gt;"",EN_PF_Year3!L29&lt;&gt;""),EN_PF_Year3!L29/3,AND(OR(EN_PF_YearY!D20="Year 3",EN_PF_YearY!J14 =3),EN_PF_YearY!L29/3&lt;&gt;"",EN_PF_YearY!L29&lt;&gt;""),EN_PF_YearY!L29/3,AND(OR(EN_PF_YearZ!D20="Year 3",EN_PF_YearZ!J14 =3),EN_PF_YearZ!L29/3&lt;&gt;"",EN_PF_YearZ!L29&lt;&gt;""),EN_PF_YearZ!L29/3,AND(EN_PF_Year3!D20&lt;&gt;"Year 3",EN_PF_Year3!J14 &lt;&gt;3,EN_PF_YearY!D20&lt;&gt;"Year 3",EN_PF_YearY!J14 &lt;&gt;3,EN_PF_YearZ!D20&lt;&gt;"Year 3",EN_PF_YearZ!J14 &lt;&gt;3),"",AND(OR(EN_PF_Year3!$D$20="Year 3",EN_PF_Year3!$J$14 =3),EN_PF_Year3!L29=""),"",AND(OR(EN_PF_YearY!$D$20="Year 3",EN_PF_YearY!$J$14 =3),EN_PF_YearY!L29=""),"",AND(OR(EN_PF_YearZ!$D$20="Year 3",EN_PF_YearZ!$J$14 =3),EN_PF_YearZ!L29=""),"")</f>
        <v/>
      </c>
      <c r="H52" s="40"/>
      <c r="I52" s="338"/>
      <c r="J52" s="320"/>
      <c r="K52" s="333"/>
      <c r="L52" s="333"/>
      <c r="M52" s="39"/>
      <c r="N52" s="119" t="str" cm="1">
        <f t="array" ref="N52">_xlfn.IFS(D52="","", D52=0,"0",D52=1,"1", D52=2,"2",D52=3,"3")</f>
        <v>2</v>
      </c>
      <c r="O52" s="35"/>
      <c r="P52" s="35"/>
      <c r="Q52" s="35"/>
      <c r="R52" s="35"/>
      <c r="S52" s="35"/>
      <c r="T52" s="35"/>
      <c r="U52" s="35"/>
      <c r="V52" s="35"/>
      <c r="W52" s="35"/>
      <c r="X52" s="35"/>
      <c r="AB52" s="64"/>
    </row>
    <row r="53" spans="1:30" ht="70.349999999999994" customHeight="1" x14ac:dyDescent="0.25">
      <c r="A53" s="43"/>
      <c r="B53" s="323"/>
      <c r="C53" s="47" t="s">
        <v>180</v>
      </c>
      <c r="D53" s="208">
        <f>IF(EN_EvolutionThreshold_Transfer!D16="","",EN_EvolutionThreshold_Transfer!D16)</f>
        <v>0</v>
      </c>
      <c r="E53" s="44" t="str" cm="1">
        <f t="array" ref="E53">_xlfn.IFS(AND(OR(EN_PF_Year3!D20="Year 1",EN_PF_Year3!J14 =1),SUM(EN_PF_Year3!L30:'EN_PF_Year3'!L32)/8&lt;&gt;"",EN_PF_Year3!L30&lt;&gt;"",EN_PF_Year3!L31&lt;&gt;"",EN_PF_Year3!L32&lt;&gt;""),SUM(EN_PF_Year3!L30:'EN_PF_Year3'!L32)/8,AND(OR(EN_PF_YearY!D20="Year 1",EN_PF_YearY!J14 =1),SUM(EN_PF_YearY!L30:'EN_PF_YearY'!L32)/8&lt;&gt;"",EN_PF_YearY!L30&lt;&gt;"",EN_PF_YearY!L31&lt;&gt;"",EN_PF_YearY!L32&lt;&gt;""),SUM(EN_PF_YearY!L30:'EN_PF_YearY'!L32)/8,AND(OR(EN_PF_YearZ!D20="Year 1",EN_PF_YearZ!J14 =1),SUM(EN_PF_YearZ!L30:'EN_PF_YearZ'!L32)/8&lt;&gt;"",EN_PF_YearZ!L30&lt;&gt;"",EN_PF_YearZ!L31&lt;&gt;"",EN_PF_YearZ!L32&lt;&gt;""),SUM(EN_PF_YearZ!L30:'EN_PF_YearZ'!L32)/8,AND(EN_PF_Year3!D20&lt;&gt;"Year 1",EN_PF_Year3!J14 &lt;&gt;1,EN_PF_YearY!D20&lt;&gt;"Year 1",EN_PF_YearY!J14 &lt;&gt;1,EN_PF_YearZ!D20&lt;&gt;"Year 1",EN_PF_YearZ!J14 &lt;&gt;1),"",AND(OR(EN_PF_Year3!D20="Year 1",EN_PF_Year3!J14 =1),OR(EN_PF_Year3!L30="",EN_PF_Year3!L31="",EN_PF_Year3!L32="")),"",AND(OR(EN_PF_YearY!D20="Year 1",EN_PF_YearY!J14 =1),OR(EN_PF_YearY!L30="",EN_PF_YearY!L31="",EN_PF_YearY!L32="")),"",AND(OR(EN_PF_YearZ!D20="Year 1",EN_PF_YearZ!J14 =1),OR(EN_PF_YearZ!L30="",EN_PF_YearZ!L31="",EN_PF_YearZ!L32="")),"")</f>
        <v/>
      </c>
      <c r="F53" s="44" t="str" cm="1">
        <f t="array" ref="F53">_xlfn.IFS(AND(OR(EN_PF_Year3!D20="Year 2",EN_PF_Year3!J14 =2),SUM(EN_PF_Year3!L30:'EN_PF_Year3'!L32)/8&lt;&gt;"",EN_PF_Year3!L30&lt;&gt;"",EN_PF_Year3!L31&lt;&gt;"",EN_PF_Year3!L32&lt;&gt;""),SUM(EN_PF_Year3!L30:'EN_PF_Year3'!L32)/8,AND(OR(EN_PF_YearY!D20="Year 2",EN_PF_YearY!J14 =2),SUM(EN_PF_YearY!L30:'EN_PF_YearY'!L32)/8&lt;&gt;"",EN_PF_YearY!L30&lt;&gt;"",EN_PF_YearY!L31&lt;&gt;"",EN_PF_YearY!L32&lt;&gt;""),SUM(EN_PF_YearY!L30:'EN_PF_YearY'!L32)/8,AND(OR(EN_PF_YearZ!D20="Year 2",EN_PF_YearZ!J14 =2),SUM(EN_PF_YearZ!L30:'EN_PF_YearZ'!L32)/8&lt;&gt;"",EN_PF_YearZ!L30&lt;&gt;"",EN_PF_YearZ!L31&lt;&gt;"",EN_PF_YearZ!L32&lt;&gt;""),SUM(EN_PF_YearZ!L30:'EN_PF_YearZ'!L32)/8,AND(EN_PF_Year3!D20&lt;&gt;"Year 2",EN_PF_Year3!J14 &lt;&gt;2,EN_PF_YearY!D20&lt;&gt;"Year 2",EN_PF_YearY!J14 &lt;&gt;2,EN_PF_YearZ!D20&lt;&gt;"Year 2",EN_PF_YearZ!J14 &lt;&gt;2),"",AND(OR(EN_PF_Year3!D20="Year 2",EN_PF_Year3!J14 =2),OR(EN_PF_Year3!L30="",EN_PF_Year3!L31="",EN_PF_Year3!L32="")),"",AND(OR(EN_PF_YearY!D20="Year 2",EN_PF_YearY!J14 =2),OR(EN_PF_YearY!L30="",EN_PF_YearY!L31="",EN_PF_YearY!L32="")),"",AND(OR(EN_PF_YearZ!D20="Year 2",EN_PF_YearZ!J14 =2),OR(EN_PF_YearZ!L30="",EN_PF_YearZ!L31="",EN_PF_YearZ!L32="")),"")</f>
        <v/>
      </c>
      <c r="G53" s="44" t="str" cm="1">
        <f t="array" ref="G53">_xlfn.IFS(AND(OR(EN_PF_Year3!D20="Year 3",EN_PF_Year3!J14 =3),SUM(EN_PF_Year3!L30:'EN_PF_Year3'!L32)/8&lt;&gt;"",EN_PF_Year3!L30&lt;&gt;"",EN_PF_Year3!L31&lt;&gt;"",EN_PF_Year3!L32&lt;&gt;""),SUM(EN_PF_Year3!L30:'EN_PF_Year3'!L32)/8,AND(OR(EN_PF_YearY!D20="Year 3",EN_PF_YearY!J14 =3),SUM(EN_PF_YearY!L30:'EN_PF_YearY'!L32)/8&lt;&gt;"",EN_PF_YearY!L30&lt;&gt;"",EN_PF_YearY!L31&lt;&gt;"",EN_PF_YearY!L32&lt;&gt;""),SUM(EN_PF_YearY!L30:'EN_PF_YearY'!L32)/8,AND(OR(EN_PF_YearZ!D20="Year 3",EN_PF_YearZ!J14 =3),SUM(EN_PF_YearZ!L30:'EN_PF_YearZ'!L32)/8&lt;&gt;"",EN_PF_YearZ!L30&lt;&gt;"",EN_PF_YearZ!L31&lt;&gt;"",EN_PF_YearZ!L32&lt;&gt;""),SUM(EN_PF_YearZ!L30:'EN_PF_YearZ'!L32)/8,AND(EN_PF_Year3!D20&lt;&gt;"Year 3",EN_PF_Year3!J14 &lt;&gt;3,EN_PF_YearY!D20&lt;&gt;"Year 3",EN_PF_YearY!J14 &lt;&gt;3,EN_PF_YearZ!D20&lt;&gt;"Year 3",EN_PF_YearZ!J14 &lt;&gt;3),"",AND(OR(EN_PF_Year3!D20="Year 3",EN_PF_Year3!J14 =3),OR(EN_PF_Year3!L30="",EN_PF_Year3!L31="",EN_PF_Year3!L32="")),"",AND(OR(EN_PF_YearY!D20="Year 3",EN_PF_YearY!J14 =3),OR(EN_PF_YearY!L30="",EN_PF_YearY!L31="",EN_PF_YearY!L32="")),"",AND(OR(EN_PF_YearZ!D20="Year 3",EN_PF_YearZ!J14 =3),OR(EN_PF_YearZ!L30="",EN_PF_YearZ!L31="",EN_PF_YearZ!L32="")),"")</f>
        <v/>
      </c>
      <c r="H53" s="40"/>
      <c r="I53" s="338"/>
      <c r="J53" s="320"/>
      <c r="K53" s="333"/>
      <c r="L53" s="333"/>
      <c r="M53" s="39"/>
      <c r="N53" s="119" t="str" cm="1">
        <f t="array" ref="N53">_xlfn.IFS(D53="","", D53=0,"0",D53=1,"1", D53=2,"2",D53=3,"3")</f>
        <v>0</v>
      </c>
      <c r="O53" s="35"/>
      <c r="P53" s="35"/>
      <c r="Q53" s="35"/>
      <c r="R53" s="35"/>
      <c r="S53" s="35"/>
      <c r="T53" s="35"/>
      <c r="U53" s="35"/>
      <c r="V53" s="35"/>
      <c r="W53" s="35"/>
      <c r="X53" s="35"/>
      <c r="AB53" s="64"/>
    </row>
    <row r="54" spans="1:30" ht="70.349999999999994" customHeight="1" x14ac:dyDescent="0.25">
      <c r="A54" s="43"/>
      <c r="B54" s="324"/>
      <c r="C54" s="47" t="s">
        <v>181</v>
      </c>
      <c r="D54" s="208">
        <f>IF(EN_EvolutionThreshold_Transfer!D17="","",EN_EvolutionThreshold_Transfer!D17)</f>
        <v>2</v>
      </c>
      <c r="E54" s="44" t="str" cm="1">
        <f t="array" ref="E54">_xlfn.IFS(AND(OR(EN_PF_Year3!D20="Year 1",EN_PF_Year3!J14 =1),EN_PF_Year3!L33/3&lt;&gt;"",EN_PF_Year3!L33&lt;&gt;""),EN_PF_Year3!L33/3,AND(OR(EN_PF_YearY!D20="Year 1",EN_PF_YearY!J14 =1),EN_PF_YearY!L33/3&lt;&gt;"",EN_PF_YearY!L33&lt;&gt;""),EN_PF_YearY!L33/3,AND(OR(EN_PF_YearZ!D20="Year 1",EN_PF_YearZ!J14 =1),EN_PF_YearZ!L33/3&lt;&gt;"",EN_PF_YearZ!L33&lt;&gt;""),EN_PF_YearZ!L33/3,AND(EN_PF_Year3!D20&lt;&gt;"Year 1",EN_PF_Year3!J14 &lt;&gt;1,EN_PF_YearY!D20&lt;&gt;"Year 1",EN_PF_YearY!J14 &lt;&gt;1,EN_PF_YearZ!D20&lt;&gt;"Year 1",EN_PF_YearZ!J14 &lt;&gt;1),"",AND(OR(EN_PF_Year3!D20="Year 1",EN_PF_Year3!J14 =1),EN_PF_Year3!L33=""),"",AND(OR(EN_PF_YearY!D20="Year 1",EN_PF_YearY!J14 =1),EN_PF_YearY!L33=""),"",AND(OR(EN_PF_YearZ!D20="Year 1",EN_PF_YearZ!J14 =1),EN_PF_YearZ!L33=""),"")</f>
        <v/>
      </c>
      <c r="F54" s="44" t="str" cm="1">
        <f t="array" ref="F54">_xlfn.IFS(AND(OR(EN_PF_Year3!D20="Year 2",EN_PF_Year3!J14 =2),EN_PF_Year3!L33/3&lt;&gt;"",EN_PF_Year3!L33&lt;&gt;""),EN_PF_Year3!L33/3,AND(OR(EN_PF_YearY!D20="Year 2",EN_PF_YearY!J14 =2),EN_PF_YearY!L33/3&lt;&gt;"",EN_PF_YearY!L33&lt;&gt;""),EN_PF_YearY!L33/3,AND(OR(EN_PF_YearZ!D20="Year 2",EN_PF_YearZ!J14 =2),EN_PF_YearZ!L33/3&lt;&gt;"",EN_PF_YearZ!L33&lt;&gt;""),EN_PF_YearZ!L33/3,AND(EN_PF_Year3!D20&lt;&gt;"Year 2",EN_PF_Year3!J14 &lt;&gt;2,EN_PF_YearY!D20&lt;&gt;"Year 2",EN_PF_YearY!J14 &lt;&gt;2,EN_PF_YearZ!D20&lt;&gt;"Year 2",EN_PF_YearZ!J14 &lt;&gt;2),"",AND(OR(EN_PF_Year3!D20="Year 2",EN_PF_Year3!J14 =2),EN_PF_Year3!L33=""),"",AND(OR(EN_PF_YearY!D20="Year 2",EN_PF_YearY!J14 =2),EN_PF_YearY!L33=""),"",AND(OR(EN_PF_YearZ!D20="Year 2",EN_PF_YearZ!J14 =2),EN_PF_YearZ!L33=""),"")</f>
        <v/>
      </c>
      <c r="G54" s="44" t="str" cm="1">
        <f t="array" ref="G54">_xlfn.IFS(AND(OR(EN_PF_Year3!D20="Year 3",EN_PF_Year3!J14 =3),EN_PF_Year3!L33/3&lt;&gt;"",EN_PF_Year3!L33&lt;&gt;""),EN_PF_Year3!L33/3,AND(OR(EN_PF_YearY!D20="Year 3",EN_PF_YearY!J14 =3),EN_PF_YearY!L33/3&lt;&gt;"",EN_PF_YearY!L33&lt;&gt;""),EN_PF_YearY!L33/3,AND(OR(EN_PF_YearZ!D20="Year 3",EN_PF_YearZ!J14 =3),EN_PF_YearZ!L33/3&lt;&gt;"",EN_PF_YearZ!L33&lt;&gt;""),EN_PF_YearZ!L33/3,AND(EN_PF_Year3!D20&lt;&gt;"Year 3",EN_PF_Year3!J14 &lt;&gt;3,EN_PF_YearY!D20&lt;&gt;"Year 3",EN_PF_YearY!J14 &lt;&gt;3,EN_PF_YearZ!D20&lt;&gt;"Year 3",EN_PF_YearZ!J14 &lt;&gt;3),"",AND(OR(EN_PF_Year3!D20="Year 3",EN_PF_Year3!J14 =3),EN_PF_Year3!L33=""),"",AND(OR(EN_PF_YearY!D20="Year 3",EN_PF_YearY!J14 =3),EN_PF_YearY!L33=""),"",AND(OR(EN_PF_YearZ!D20="Year 3",EN_PF_YearZ!J14 =3),EN_PF_YearZ!L33=""),"")</f>
        <v/>
      </c>
      <c r="H54" s="40"/>
      <c r="I54" s="339"/>
      <c r="J54" s="320"/>
      <c r="K54" s="333"/>
      <c r="L54" s="333"/>
      <c r="M54" s="39"/>
      <c r="N54" s="119" t="str" cm="1">
        <f t="array" ref="N54">_xlfn.IFS(D54="","", D54=0,"0",D54=1,"1", D54=2,"2",D54=3,"3")</f>
        <v>2</v>
      </c>
      <c r="O54" s="35"/>
      <c r="P54" s="35"/>
      <c r="Q54" s="35"/>
      <c r="R54" s="35"/>
      <c r="S54" s="35"/>
      <c r="T54" s="35"/>
      <c r="U54" s="35"/>
      <c r="V54" s="35"/>
      <c r="W54" s="35"/>
      <c r="X54" s="35"/>
      <c r="AB54" s="66"/>
    </row>
    <row r="55" spans="1:30" ht="70.349999999999994" customHeight="1" x14ac:dyDescent="0.25">
      <c r="A55" s="17"/>
      <c r="B55" s="314" t="s">
        <v>113</v>
      </c>
      <c r="C55" s="45" t="s">
        <v>177</v>
      </c>
      <c r="D55" s="208">
        <f>IF(EN_EvolutionThreshold_Transfer!D19="","",EN_EvolutionThreshold_Transfer!D19)</f>
        <v>2</v>
      </c>
      <c r="E55" s="44" t="str" cm="1">
        <f t="array" ref="E55">_xlfn.IFS(AND(OR(EN_PF_Year3!D20="Year 1",EN_PF_Year3!J14 =1),SUM(EN_PF_Year3!L34:'EN_PF_Year3'!L38)/15&lt;&gt;"",EN_PF_Year3!L34&lt;&gt;"",EN_PF_Year3!L35&lt;&gt;"",EN_PF_Year3!L36&lt;&gt;"",EN_PF_Year3!L37&lt;&gt;"",EN_PF_Year3!L38&lt;&gt;""),SUM(EN_PF_Year3!L34:'EN_PF_Year3'!L38)/15,AND(OR(EN_PF_YearY!D20="Year 1",EN_PF_YearY!J14 =1),SUM(EN_PF_YearY!L34:'EN_PF_YearY'!L38)/15&lt;&gt;"",EN_PF_YearY!L34&lt;&gt;"",EN_PF_YearY!L35&lt;&gt;"",EN_PF_YearY!L36&lt;&gt;"",EN_PF_YearY!L37&lt;&gt;"",EN_PF_YearY!L38&lt;&gt;""),SUM(EN_PF_YearY!L34:'EN_PF_YearY'!L38)/15,AND(OR(EN_PF_YearZ!D20="Year 1",EN_PF_YearZ!J14 =1),SUM(EN_PF_YearZ!L34:'EN_PF_YearZ'!L38)/15&lt;&gt;"",EN_PF_YearZ!L34&lt;&gt;"",EN_PF_YearZ!L35&lt;&gt;"",EN_PF_YearZ!L36&lt;&gt;"",EN_PF_YearZ!L37&lt;&gt;"",EN_PF_YearZ!L38&lt;&gt;""),SUM(EN_PF_YearZ!L34:'EN_PF_YearZ'!L38)/15,AND(EN_PF_Year3!D20&lt;&gt;"Year 1",EN_PF_Year3!J14 &lt;&gt;1,EN_PF_YearY!D20&lt;&gt;"Year 1",EN_PF_YearY!J14 &lt;&gt;1,EN_PF_YearZ!D20&lt;&gt;"Year 1",EN_PF_YearZ!J14 &lt;&gt;1),"",AND(OR(EN_PF_Year3!D20="Year 1",EN_PF_Year3!J14 =1),OR(EN_PF_Year3!L34="",EN_PF_Year3!L35="",EN_PF_Year3!L36="",EN_PF_Year3!L37="",EN_PF_Year3!L38="")),"",AND(OR(EN_PF_YearY!D20="Year 1",EN_PF_YearY!J14 =1),OR(EN_PF_YearY!L34="",EN_PF_YearY!L35="",EN_PF_YearY!L36="",EN_PF_YearY!L37="",EN_PF_YearY!L38="")),"",AND(OR(EN_PF_YearZ!D20="Year 1",EN_PF_YearZ!J14 =1),OR(EN_PF_YearZ!L34="",EN_PF_YearZ!L35="",EN_PF_YearZ!L36="",EN_PF_YearZ!L37="",EN_PF_YearZ!L38="")),"")</f>
        <v/>
      </c>
      <c r="F55" s="44" t="str" cm="1">
        <f t="array" ref="F55">_xlfn.IFS(AND(OR(EN_PF_Year3!D20="Year 2",EN_PF_Year3!J14 =2),SUM(EN_PF_Year3!L34:'EN_PF_Year3'!L38)/15&lt;&gt;"",EN_PF_Year3!L34&lt;&gt;"",EN_PF_Year3!L35&lt;&gt;"",EN_PF_Year3!L36&lt;&gt;"",EN_PF_Year3!L37&lt;&gt;"",EN_PF_Year3!L38&lt;&gt;""),SUM(EN_PF_Year3!L34:'EN_PF_Year3'!L38)/15,AND(OR(EN_PF_YearY!D20="Year 2",EN_PF_YearY!J14 =2),SUM(EN_PF_YearY!L34:'EN_PF_YearY'!L38)/15&lt;&gt;"",EN_PF_YearY!L34&lt;&gt;"",EN_PF_YearY!L35&lt;&gt;"",EN_PF_YearY!L36&lt;&gt;"",EN_PF_YearY!L37&lt;&gt;"",EN_PF_YearY!L38&lt;&gt;""),SUM(EN_PF_YearY!L34:'EN_PF_YearY'!L38)/15,AND(OR(EN_PF_YearZ!D20="Year 2",EN_PF_YearZ!J14 =2),SUM(EN_PF_YearZ!L34:'EN_PF_YearZ'!L38)/15&lt;&gt;"",EN_PF_YearZ!L34&lt;&gt;"",EN_PF_YearZ!L35&lt;&gt;"",EN_PF_YearZ!L36&lt;&gt;"",EN_PF_YearZ!L37&lt;&gt;"",EN_PF_YearZ!L38&lt;&gt;""),SUM(EN_PF_YearZ!L34:'EN_PF_YearZ'!L38)/15,AND(EN_PF_Year3!D20&lt;&gt;"Year 2",EN_PF_Year3!J14 &lt;&gt;2,EN_PF_YearY!D20&lt;&gt;"Year 2",EN_PF_YearY!J14 &lt;&gt;2,EN_PF_YearZ!D20&lt;&gt;"Year 2",EN_PF_YearZ!J14 &lt;&gt;2),"",AND(OR(EN_PF_Year3!D20="Year 2",EN_PF_Year3!J14 =2),OR(EN_PF_Year3!L34="",EN_PF_Year3!L35="",EN_PF_Year3!L36="",EN_PF_Year3!L37="",EN_PF_Year3!L38="")),"",AND(OR(EN_PF_YearY!D20="Year 2",EN_PF_YearY!J14 =2),OR(EN_PF_YearY!L34="",EN_PF_YearY!L35="",EN_PF_YearY!L36="",EN_PF_YearY!L37="",EN_PF_YearY!L38="")),"",AND(OR(EN_PF_YearZ!D20="Year 2",EN_PF_YearZ!J14 =2),OR(EN_PF_YearZ!L34="",EN_PF_YearZ!L35="",EN_PF_YearZ!L36="",EN_PF_YearZ!L37="",EN_PF_YearZ!L38="")),"")</f>
        <v/>
      </c>
      <c r="G55" s="44" t="str" cm="1">
        <f t="array" ref="G55">_xlfn.IFS(AND(OR(EN_PF_Year3!D20="Year 3",EN_PF_Year3!J14 =3),SUM(EN_PF_Year3!L34:'EN_PF_Year3'!L38)/15&lt;&gt;"",EN_PF_Year3!L34&lt;&gt;"",EN_PF_Year3!L35&lt;&gt;"",EN_PF_Year3!L36&lt;&gt;"",EN_PF_Year3!L37&lt;&gt;"",EN_PF_Year3!L38&lt;&gt;""),SUM(EN_PF_Year3!L34:'EN_PF_Year3'!L38)/15,AND(OR(EN_PF_YearY!D20="Year 3",EN_PF_YearY!J14 =3),SUM(EN_PF_YearY!L34:'EN_PF_YearY'!L38)/15&lt;&gt;"",EN_PF_YearY!L34&lt;&gt;"",EN_PF_YearY!L35&lt;&gt;"",EN_PF_YearY!L36&lt;&gt;"",EN_PF_YearY!L37&lt;&gt;"",EN_PF_YearY!L38&lt;&gt;""),SUM(EN_PF_YearY!L34:'EN_PF_YearY'!L38)/15,AND(OR(EN_PF_YearZ!D20="Year 3",EN_PF_YearZ!J14 =3),SUM(EN_PF_YearZ!L34:'EN_PF_YearZ'!L38)/15&lt;&gt;"",EN_PF_YearZ!L34&lt;&gt;"",EN_PF_YearZ!L35&lt;&gt;"",EN_PF_YearZ!L36&lt;&gt;"",EN_PF_YearZ!L37&lt;&gt;"",EN_PF_YearZ!L38&lt;&gt;""),SUM(EN_PF_YearZ!L34:'EN_PF_YearZ'!L38)/15,AND(EN_PF_Year3!D20&lt;&gt;"Year 3",EN_PF_Year3!J14 &lt;&gt;3,EN_PF_YearY!D20&lt;&gt;"Year 3",EN_PF_YearY!J14 &lt;&gt;3,EN_PF_YearZ!D20&lt;&gt;"Year 3",EN_PF_YearZ!J14 &lt;&gt;3),"",AND(OR(EN_PF_Year3!D20="Year 3",EN_PF_Year3!J14 =3),OR(EN_PF_Year3!L34="",EN_PF_Year3!L35="",EN_PF_Year3!L36="",EN_PF_Year3!L37="",EN_PF_Year3!L38="")),"",AND(OR(EN_PF_YearY!D20="Year 3",EN_PF_YearY!J14 =3),OR(EN_PF_YearY!L34="",EN_PF_YearY!L35="",EN_PF_YearY!L36="",EN_PF_YearY!L37="",EN_PF_YearY!L38="")),"",AND(OR(EN_PF_YearZ!D20="Year 3",EN_PF_YearZ!J14 =3),OR(EN_PF_YearZ!L34="",EN_PF_YearZ!L35="",EN_PF_YearZ!L36="",EN_PF_YearZ!L37="",EN_PF_YearZ!L38="")),"")</f>
        <v/>
      </c>
      <c r="H55" s="40"/>
      <c r="I55" s="333" cm="1">
        <f t="array" ref="I55">_xlfn.IFS(AND(D55&lt;&gt;"",D56&lt;&gt;"",D57&lt;&gt;"",D58&lt;&gt;""),SUM(D55:D58)/12,OR(D55="",D56="",D57="",D58=""),"")</f>
        <v>0.5</v>
      </c>
      <c r="J55" s="320" t="str" cm="1">
        <f t="array" ref="J55">_xlfn.IFS(AND(E55&lt;&gt;"",E56&lt;&gt;"",E57&lt;&gt;"",E58&lt;&gt;""),AVERAGE(E55:E58),OR(E55="",E56="",E57="",E58=""),"")</f>
        <v/>
      </c>
      <c r="K55" s="333" t="str" cm="1">
        <f t="array" ref="K55">_xlfn.IFS(AND(F55&lt;&gt;"",F56&lt;&gt;"",F57&lt;&gt;"",F58&lt;&gt;""),AVERAGE(F55:F58),OR(F55="",F56="",F57="",F58=""),"")</f>
        <v/>
      </c>
      <c r="L55" s="333" t="str" cm="1">
        <f t="array" ref="L55">_xlfn.IFS(AND(G55&lt;&gt;"",G56&lt;&gt;"",G57&lt;&gt;"",G58&lt;&gt;""),AVERAGE(G55:G58),OR(G55="",G56="",G57="",G58=""),"")</f>
        <v/>
      </c>
      <c r="M55" s="39"/>
      <c r="N55" s="119" t="str" cm="1">
        <f t="array" ref="N55">_xlfn.IFS(D55="","", D55=0,"0",D55=1,"1", D55=2,"2",D55=3,"3")</f>
        <v>2</v>
      </c>
      <c r="O55" s="35"/>
      <c r="P55" s="35"/>
      <c r="Q55" s="35"/>
      <c r="R55" s="35"/>
      <c r="S55" s="35"/>
      <c r="T55" s="35"/>
      <c r="U55" s="35"/>
      <c r="V55" s="35"/>
      <c r="W55" s="35"/>
      <c r="X55" s="35"/>
      <c r="AB55" s="64">
        <v>0.25</v>
      </c>
      <c r="AC55" s="65">
        <v>0.57999999999999996</v>
      </c>
      <c r="AD55" s="65">
        <v>0.9</v>
      </c>
    </row>
    <row r="56" spans="1:30" ht="70.349999999999994" customHeight="1" x14ac:dyDescent="0.25">
      <c r="A56" s="17"/>
      <c r="B56" s="315"/>
      <c r="C56" s="47" t="s">
        <v>178</v>
      </c>
      <c r="D56" s="208">
        <f>IF(EN_EvolutionThreshold_Transfer!D20="","",EN_EvolutionThreshold_Transfer!D20)</f>
        <v>2</v>
      </c>
      <c r="E56" s="44" t="str" cm="1">
        <f t="array" ref="E56">_xlfn.IFS(AND(OR(EN_PF_Year3!D20="Year 1",EN_PF_Year3!J14 =1),SUM(EN_PF_Year3!L39:'EN_PF_Year3'!L40)/6&lt;&gt;"",EN_PF_Year3!L39&lt;&gt;"",EN_PF_Year3!L40&lt;&gt;""),SUM(EN_PF_Year3!L39:'EN_PF_Year3'!L40)/6,AND(OR(EN_PF_YearY!D20="Year 1",EN_PF_YearY!J14 =1),SUM(EN_PF_YearY!L39:'EN_PF_YearY'!L40)/6&lt;&gt;"",EN_PF_YearY!L39&lt;&gt;"",EN_PF_YearY!L40&lt;&gt;""),SUM(EN_PF_YearY!L39:'EN_PF_YearY'!L40)/6,AND(OR(EN_PF_YearZ!D20="Year 1",EN_PF_YearZ!J14 =1),SUM(EN_PF_YearZ!L39:'EN_PF_YearZ'!L40)/6&lt;&gt;"",EN_PF_YearZ!L39&lt;&gt;"",EN_PF_YearZ!L40&lt;&gt;""),SUM(EN_PF_YearZ!L39:'EN_PF_YearZ'!L40)/6,AND(EN_PF_Year3!D20&lt;&gt;"Year 1",EN_PF_Year3!J14 &lt;&gt;1,EN_PF_YearY!D20&lt;&gt;"Year 1",EN_PF_YearY!J14 &lt;&gt;1,EN_PF_YearZ!D20&lt;&gt;"Year 1",EN_PF_YearZ!J14 &lt;&gt;1),"",AND(OR(EN_PF_Year3!D20="Year 1",EN_PF_Year3!J14 =1),OR(EN_PF_Year3!L39="",EN_PF_Year3!L40="")),"",AND(OR(EN_PF_YearY!D20="Year 1",EN_PF_YearY!J14 =1),OR(EN_PF_YearY!L39="",EN_PF_YearY!L40="")),"",AND(OR(EN_PF_YearZ!D20="Year 1",EN_PF_YearZ!J14 =1),OR(EN_PF_YearZ!L39="",EN_PF_YearZ!L40="")),"")</f>
        <v/>
      </c>
      <c r="F56" s="44" t="str" cm="1">
        <f t="array" ref="F56">_xlfn.IFS(AND(OR(EN_PF_Year3!D20="Year 2",EN_PF_Year3!J14 =2),SUM(EN_PF_Year3!L39:'EN_PF_Year3'!L40)/6&lt;&gt;"",EN_PF_Year3!L39&lt;&gt;"",EN_PF_Year3!L40&lt;&gt;""),SUM(EN_PF_Year3!L39:'EN_PF_Year3'!L40)/6,AND(OR(EN_PF_YearY!D20="Year 2",EN_PF_YearY!J14 =2),SUM(EN_PF_YearY!L39:'EN_PF_YearY'!L40)/6&lt;&gt;"",EN_PF_YearY!L39&lt;&gt;"",EN_PF_YearY!L40&lt;&gt;""),SUM(EN_PF_YearY!L39:'EN_PF_YearY'!L40)/6,AND(OR(EN_PF_YearZ!D20="Year 2",EN_PF_YearZ!J14 =2),SUM(EN_PF_YearZ!L39:'EN_PF_YearZ'!L40)/6&lt;&gt;"",EN_PF_YearZ!L39&lt;&gt;"",EN_PF_YearZ!L40&lt;&gt;""),SUM(EN_PF_YearZ!L39:'EN_PF_YearZ'!L40)/6,AND(EN_PF_Year3!D20&lt;&gt;"Year 2",EN_PF_Year3!J14 &lt;&gt;2,EN_PF_YearY!D20&lt;&gt;"Year 2",EN_PF_YearY!J14 &lt;&gt;2,EN_PF_YearZ!D20&lt;&gt;"Year 2",EN_PF_YearZ!J14 &lt;&gt;2),"",AND(OR(EN_PF_Year3!D20="Year 2",EN_PF_Year3!J14 =2),OR(EN_PF_Year3!L39="",EN_PF_Year3!L40="")),"",AND(OR(EN_PF_YearY!D20="Year 2",EN_PF_YearY!J14 =2),OR(EN_PF_YearY!L39="",EN_PF_YearY!L40="")),"",AND(OR(EN_PF_YearZ!D20="Year 2",EN_PF_YearZ!J14 =2),OR(EN_PF_YearZ!L39="",EN_PF_YearZ!L40="")),"")</f>
        <v/>
      </c>
      <c r="G56" s="44" t="str" cm="1">
        <f t="array" ref="G56">_xlfn.IFS(AND(OR(EN_PF_Year3!D20="Year 3",EN_PF_Year3!J14 =3),SUM(EN_PF_Year3!L39:'EN_PF_Year3'!L40)/6&lt;&gt;"",EN_PF_Year3!L39&lt;&gt;"",EN_PF_Year3!L40&lt;&gt;""),SUM(EN_PF_Year3!L39:'EN_PF_Year3'!L40)/6,AND(OR(EN_PF_YearY!D20="Year 3",EN_PF_YearY!J14 =3),SUM(EN_PF_YearY!L39:'EN_PF_YearY'!L40)/6&lt;&gt;"",EN_PF_YearY!L39&lt;&gt;"",EN_PF_YearY!L40&lt;&gt;""),SUM(EN_PF_YearY!L39:'EN_PF_YearY'!L40)/6,AND(OR(EN_PF_YearZ!D20="Year 3",EN_PF_YearZ!J14 =2),SUM(EN_PF_YearZ!L39:'EN_PF_YearZ'!L40)/6&lt;&gt;"",EN_PF_YearZ!L39&lt;&gt;"",EN_PF_YearZ!L40&lt;&gt;""),SUM(EN_PF_YearZ!L39:'EN_PF_YearZ'!L40)/6,AND(EN_PF_Year3!D20&lt;&gt;"Year 3",EN_PF_Year3!J14 &lt;&gt;3,EN_PF_YearY!D20&lt;&gt;"Year 3",EN_PF_YearY!J14 &lt;&gt;3,EN_PF_YearZ!D20&lt;&gt;"Year 3",EN_PF_YearZ!J14 &lt;&gt;3),"",AND(OR(EN_PF_Year3!D20="Year 3",EN_PF_Year3!J14 =3),OR(EN_PF_Year3!L39="",EN_PF_Year3!L40="")),"",AND(OR(EN_PF_YearY!D20="Year 3",EN_PF_YearY!J14 =3),OR(EN_PF_YearY!L39="",EN_PF_YearY!L40="")),"",AND(OR(EN_PF_YearZ!D20="Year 3",EN_PF_YearZ!J14 =3),OR(EN_PF_YearZ!L39="",EN_PF_YearZ!L40="")),"")</f>
        <v/>
      </c>
      <c r="H56" s="40"/>
      <c r="I56" s="333"/>
      <c r="J56" s="320"/>
      <c r="K56" s="333"/>
      <c r="L56" s="333"/>
      <c r="M56" s="39"/>
      <c r="N56" s="119" t="str" cm="1">
        <f t="array" ref="N56">_xlfn.IFS(D56="","", D56=0,"0",D56=1,"1", D56=2,"2",D56=3,"3")</f>
        <v>2</v>
      </c>
      <c r="O56" s="35"/>
      <c r="P56" s="35"/>
      <c r="Q56" s="35"/>
      <c r="R56" s="35"/>
      <c r="S56" s="35"/>
      <c r="T56" s="35"/>
      <c r="U56" s="35"/>
      <c r="V56" s="35"/>
      <c r="W56" s="35"/>
      <c r="X56" s="35"/>
      <c r="AB56" s="66"/>
    </row>
    <row r="57" spans="1:30" ht="70.349999999999994" customHeight="1" x14ac:dyDescent="0.25">
      <c r="A57" s="17"/>
      <c r="B57" s="315"/>
      <c r="C57" s="47" t="s">
        <v>678</v>
      </c>
      <c r="D57" s="208">
        <f>IF(EN_EvolutionThreshold_Transfer!D21="","",EN_EvolutionThreshold_Transfer!D21)</f>
        <v>2</v>
      </c>
      <c r="E57" s="44" t="str" cm="1">
        <f t="array" ref="E57">_xlfn.IFS(AND(OR(EN_PF_Year3!D20="Year 1",EN_PF_Year3!J14 =1),EN_PF_Year3!L41/3&lt;&gt;"",EN_PF_Year3!L41&lt;&gt;""),EN_PF_Year3!L41/3,AND(OR(EN_PF_YearY!D20="Year 1",EN_PF_YearY!J14 =1),EN_PF_YearY!L41/3&lt;&gt;"",EN_PF_YearY!L41&lt;&gt;""),EN_PF_YearY!L41/3,AND(OR(EN_PF_YearZ!D20="Year 1",EN_PF_YearZ!J14 =1),EN_PF_YearZ!L41/3&lt;&gt;"",EN_PF_YearZ!L41&lt;&gt;""),EN_PF_YearZ!L41/3,AND(EN_PF_Year3!D20&lt;&gt;"Year 1",EN_PF_Year3!J14 &lt;&gt;1,EN_PF_YearY!D20&lt;&gt;"Year 1",EN_PF_YearY!J14 &lt;&gt;1,EN_PF_YearZ!D20&lt;&gt;"Year 1",EN_PF_YearZ!J14 &lt;&gt;1),"",AND(OR(EN_PF_Year3!D20="Year 1",EN_PF_Year3!J14 =1),EN_PF_Year3!L41=""),"",AND(OR(EN_PF_YearY!D20="Year 1",EN_PF_YearY!J14 =1),EN_PF_YearY!L41=""),"",AND(OR(EN_PF_YearZ!D20="Year 1",EN_PF_YearZ!J14 =1),EN_PF_YearZ!L41=""),"")</f>
        <v/>
      </c>
      <c r="F57" s="44" t="str" cm="1">
        <f t="array" ref="F57">_xlfn.IFS(AND(OR(EN_PF_Year3!D20="Year 2",EN_PF_Year3!J14 =2),EN_PF_Year3!L41/3&lt;&gt;"",EN_PF_Year3!L41&lt;&gt;""),EN_PF_Year3!L41/3,AND(OR(EN_PF_YearY!D20="Year 2",EN_PF_YearY!J14 =2),EN_PF_YearY!L41/3&lt;&gt;"",EN_PF_YearY!L41&lt;&gt;""),EN_PF_YearY!L41/3,AND(OR(EN_PF_YearZ!D20="Year 2",EN_PF_YearZ!J14 =2),EN_PF_YearZ!L41/3&lt;&gt;"",EN_PF_YearZ!L41&lt;&gt;""),EN_PF_YearZ!L41/3,AND(EN_PF_Year3!D20&lt;&gt;"Year 2",EN_PF_Year3!J14 &lt;&gt;2,EN_PF_YearY!D20&lt;&gt;"Year 2",EN_PF_YearY!J14 &lt;&gt;2,EN_PF_YearZ!D20&lt;&gt;"Year 2",EN_PF_YearZ!J14 &lt;&gt;2),"",AND(OR(EN_PF_Year3!D20="Year 2",EN_PF_Year3!J14 =2),EN_PF_Year3!L41=""),"",AND(OR(EN_PF_YearY!D20="Year 2",EN_PF_YearY!J14 =2),EN_PF_YearY!L41=""),"",AND(OR(EN_PF_YearZ!D20="Year 2",EN_PF_YearZ!J14 =2),EN_PF_YearZ!L41=""),"")</f>
        <v/>
      </c>
      <c r="G57" s="44" t="str" cm="1">
        <f t="array" ref="G57">_xlfn.IFS(AND(OR(EN_PF_Year3!D20="Year 3",EN_PF_Year3!J14 =3),EN_PF_Year3!L41/3&lt;&gt;"",EN_PF_Year3!L41&lt;&gt;""),EN_PF_Year3!L41/3,AND(OR(EN_PF_YearY!D20="Year 3",EN_PF_YearY!J14 =3),EN_PF_YearY!L41/3&lt;&gt;"",EN_PF_YearY!L41&lt;&gt;""),EN_PF_YearY!L41/3,AND(OR(EN_PF_YearZ!D20="Year 3",EN_PF_YearZ!J14 =3),EN_PF_YearZ!L41/3&lt;&gt;"",EN_PF_YearZ!L41&lt;&gt;""),EN_PF_YearZ!L41/3,AND(EN_PF_Year3!D20&lt;&gt;"Year 3",EN_PF_Year3!J14 &lt;&gt;3,EN_PF_YearY!D20&lt;&gt;"Year 3",EN_PF_YearY!J14 &lt;&gt;3,EN_PF_YearZ!D20&lt;&gt;"Year 3",EN_PF_YearZ!J14 &lt;&gt;3),"",AND(OR(EN_PF_Year3!D20="Year 3",EN_PF_Year3!J14 =3),EN_PF_Year3!L41=""),"",AND(OR(EN_PF_YearY!D20="Year 3",EN_PF_YearY!J14 =3),EN_PF_YearY!L41=""),"",AND(OR(EN_PF_YearZ!D20="Year 3",EN_PF_YearZ!J14 =3),EN_PF_YearZ!L41=""),"")</f>
        <v/>
      </c>
      <c r="H57" s="40"/>
      <c r="I57" s="333"/>
      <c r="J57" s="320"/>
      <c r="K57" s="333"/>
      <c r="L57" s="333"/>
      <c r="M57" s="39"/>
      <c r="N57" s="119" t="str" cm="1">
        <f t="array" ref="N57">_xlfn.IFS(D57="","", D57=0,"0",D57=1,"1", D57=2,"2",D57=3,"3")</f>
        <v>2</v>
      </c>
      <c r="O57" s="35"/>
      <c r="P57" s="35"/>
      <c r="Q57" s="35"/>
      <c r="R57" s="35"/>
      <c r="S57" s="35"/>
      <c r="T57" s="35"/>
      <c r="U57" s="35"/>
      <c r="V57" s="35"/>
      <c r="W57" s="35"/>
      <c r="X57" s="35"/>
      <c r="AB57" s="66"/>
    </row>
    <row r="58" spans="1:30" ht="70.349999999999994" customHeight="1" x14ac:dyDescent="0.25">
      <c r="A58" s="17"/>
      <c r="B58" s="316"/>
      <c r="C58" s="47" t="s">
        <v>679</v>
      </c>
      <c r="D58" s="208">
        <f>IF(EN_EvolutionThreshold_Transfer!D22="","",EN_EvolutionThreshold_Transfer!D22)</f>
        <v>0</v>
      </c>
      <c r="E58" s="44" t="str" cm="1">
        <f t="array" ref="E58">_xlfn.IFS(AND(OR(EN_PF_Year3!D20="Year 1",EN_PF_Year3!J14 =1),EN_PF_Year3!L42/3&lt;&gt;"",EN_PF_Year3!L42&lt;&gt;""),EN_PF_Year3!L42/3,AND(OR(EN_PF_YearY!D20="Year 1",EN_PF_YearY!J14 =1),EN_PF_YearY!L42/3&lt;&gt;"",EN_PF_YearY!L42&lt;&gt;""),EN_PF_YearY!L42/3,AND(OR(EN_PF_YearZ!D20="Year 1",EN_PF_YearZ!J14 =1),EN_PF_YearZ!L42/3&lt;&gt;"",EN_PF_YearZ!L42&lt;&gt;""),EN_PF_YearZ!L42/3,AND(EN_PF_Year3!D20&lt;&gt;"Year 1",EN_PF_Year3!J14 &lt;&gt;1,EN_PF_YearY!D20&lt;&gt;"Year 1",EN_PF_YearY!J14 &lt;&gt;1,EN_PF_YearZ!D20&lt;&gt;"Year 1",EN_PF_YearZ!J14 &lt;&gt;1),"",AND(OR(EN_PF_Year3!D20="Year 1",EN_PF_Year3!J14 =1),EN_PF_Year3!L42=""),"",AND(OR(EN_PF_YearY!D20="Year 1",EN_PF_YearY!J14 =1),EN_PF_YearY!L42=""),"",AND(OR(EN_PF_YearZ!D20="Year 1",EN_PF_YearZ!J14 =1),EN_PF_YearZ!L42=""),"")</f>
        <v/>
      </c>
      <c r="F58" s="44" t="str" cm="1">
        <f t="array" ref="F58">_xlfn.IFS(AND(OR(EN_PF_Year3!D20="Year 2",EN_PF_Year3!J14 =2),EN_PF_Year3!L42/3&lt;&gt;"",EN_PF_Year3!L42&lt;&gt;""),EN_PF_Year3!L42/3,AND(OR(EN_PF_YearY!D20="Year 2",EN_PF_YearY!J14 =2),EN_PF_YearY!L42/3&lt;&gt;"",EN_PF_YearY!L42&lt;&gt;""),EN_PF_YearY!L42/3,AND(OR(EN_PF_YearZ!D20="Year 2",EN_PF_YearZ!J14 =2),EN_PF_YearZ!L42/3&lt;&gt;"",EN_PF_YearZ!L42&lt;&gt;""),EN_PF_YearZ!L42/3,AND(EN_PF_Year3!D20&lt;&gt;"Year 2",EN_PF_Year3!J14 &lt;&gt;2,EN_PF_YearY!D20&lt;&gt;"Year 2",EN_PF_YearY!J14 &lt;&gt;2,EN_PF_YearZ!D20&lt;&gt;"Year 2",EN_PF_YearZ!J14 &lt;&gt;2),"",AND(OR(EN_PF_Year3!D20="Year 2",EN_PF_Year3!J14 =2),EN_PF_Year3!L42=""),"",AND(OR(EN_PF_YearY!D20="Year 2",EN_PF_YearY!J14 =2),EN_PF_YearY!L42=""),"",AND(OR(EN_PF_YearZ!D20="Year 2",EN_PF_YearZ!J14 =2),EN_PF_YearZ!L42=""),"")</f>
        <v/>
      </c>
      <c r="G58" s="44" t="str" cm="1">
        <f t="array" ref="G58">_xlfn.IFS(AND(OR(EN_PF_Year3!D20="Year 3",EN_PF_Year3!J14 =3),EN_PF_Year3!L42/3&lt;&gt;"",EN_PF_Year3!L42&lt;&gt;""),EN_PF_Year3!L42/3,AND(OR(EN_PF_YearY!D20="Year 3",EN_PF_YearY!J14 =3),EN_PF_YearY!L42/3&lt;&gt;"",EN_PF_YearY!L42&lt;&gt;""),EN_PF_YearY!L42/3,AND(OR(EN_PF_YearZ!D20="Year 3",EN_PF_YearZ!J14 =3),EN_PF_YearZ!L42/3&lt;&gt;"",EN_PF_YearZ!L42&lt;&gt;""),EN_PF_YearZ!L42/3,AND(EN_PF_Year3!D20&lt;&gt;"Year 3",EN_PF_Year3!J14 &lt;&gt;3,EN_PF_YearY!D20&lt;&gt;"Year 3",EN_PF_YearY!J14 &lt;&gt;3,EN_PF_YearZ!D20&lt;&gt;"Year 3",EN_PF_YearZ!J14 &lt;&gt;3),"",AND(OR(EN_PF_Year3!D20="Year 3",EN_PF_Year3!J14 =3),EN_PF_Year3!L42=""),"",AND(OR(EN_PF_YearY!D20="Year 3",EN_PF_YearY!J14 =3),EN_PF_YearY!L42=""),"",AND(OR(EN_PF_YearZ!D20="Year 3",EN_PF_YearZ!J14 =3),EN_PF_YearZ!L42=""),"")</f>
        <v/>
      </c>
      <c r="H58" s="40"/>
      <c r="I58" s="333"/>
      <c r="J58" s="320"/>
      <c r="K58" s="333"/>
      <c r="L58" s="333"/>
      <c r="M58" s="39"/>
      <c r="N58" s="119" t="str" cm="1">
        <f t="array" ref="N58">_xlfn.IFS(D58="","", D58=0,"0",D58=1,"1", D58=2,"2",D58=3,"3")</f>
        <v>0</v>
      </c>
      <c r="O58" s="35"/>
      <c r="P58" s="35"/>
      <c r="Q58" s="35"/>
      <c r="R58" s="35"/>
      <c r="S58" s="35"/>
      <c r="T58" s="35"/>
      <c r="U58" s="35"/>
      <c r="V58" s="35"/>
      <c r="W58" s="35"/>
      <c r="X58" s="35"/>
      <c r="AB58" s="66"/>
    </row>
    <row r="59" spans="1:30" ht="70.349999999999994" customHeight="1" x14ac:dyDescent="0.25">
      <c r="A59" s="17"/>
      <c r="B59" s="351" t="s">
        <v>114</v>
      </c>
      <c r="C59" s="45" t="s">
        <v>182</v>
      </c>
      <c r="D59" s="208">
        <f>IF(EN_EvolutionThreshold_Transfer!D24="","",EN_EvolutionThreshold_Transfer!D24)</f>
        <v>1</v>
      </c>
      <c r="E59" s="44" t="str" cm="1">
        <f t="array" ref="E59">_xlfn.IFS(AND(OR(EN_PF_Year3!D20="Year 1",EN_PF_Year3!J14 =1),SUM(EN_PF_Year3!L43:'EN_PF_Year3'!L44)/5&lt;&gt;"",EN_PF_Year3!L43&lt;&gt;"",EN_PF_Year3!L44&lt;&gt;""),SUM(EN_PF_Year3!L43:'EN_PF_Year3'!L44)/5,AND(OR(EN_PF_YearY!D20="Year 1",EN_PF_YearY!J14 =1),SUM(EN_PF_YearY!L43:'EN_PF_YearY'!L44)/5&lt;&gt;"",EN_PF_YearY!L43&lt;&gt;"",EN_PF_YearY!L44&lt;&gt;""),SUM(EN_PF_YearY!L43:'EN_PF_YearY'!L44)/5,AND(OR(EN_PF_YearZ!D20="Year 1",EN_PF_YearZ!J14 =1),SUM(EN_PF_YearZ!L43:'EN_PF_YearZ'!L44)/5&lt;&gt;"",EN_PF_YearZ!L43&lt;&gt;"",EN_PF_YearZ!L44&lt;&gt;""),SUM(EN_PF_YearZ!L43:'EN_PF_YearZ'!L44)/5,AND(EN_PF_Year3!D20&lt;&gt;"Year 1",EN_PF_Year3!J14 &lt;&gt;1,EN_PF_YearY!D20&lt;&gt;"Year 1",EN_PF_YearY!J14 &lt;&gt;1,EN_PF_YearZ!D20&lt;&gt;"Year 1",EN_PF_YearZ!J14 &lt;&gt;1),"",AND(OR(EN_PF_Year3!D20="Year 1",EN_PF_Year3!J14 =1),OR(EN_PF_Year3!L43="",EN_PF_Year3!L44="")),"",AND(OR(EN_PF_YearY!D20="Year 1",EN_PF_YearY!J14 =1),OR(EN_PF_YearY!L43="",EN_PF_YearY!L44="")),"",AND(OR(EN_PF_YearZ!D20="Year 1",EN_PF_YearZ!J14 =1),OR(EN_PF_YearZ!L43="",EN_PF_YearZ!L44="")),"")</f>
        <v/>
      </c>
      <c r="F59" s="44" t="str" cm="1">
        <f t="array" ref="F59">_xlfn.IFS(AND(OR(EN_PF_Year3!D20="Year 2",EN_PF_Year3!J14 =2),SUM(EN_PF_Year3!L43:'EN_PF_Year3'!L44)/5&lt;&gt;"",EN_PF_Year3!L43&lt;&gt;"",EN_PF_Year3!L44&lt;&gt;""),SUM(EN_PF_Year3!L43:'EN_PF_Year3'!L44)/5,AND(OR(EN_PF_YearY!D20="Year 2",EN_PF_YearY!J14 =2),SUM(EN_PF_YearY!L43:'EN_PF_YearY'!L44)/5&lt;&gt;"",EN_PF_YearY!L43&lt;&gt;"",EN_PF_YearY!L44&lt;&gt;""),SUM(EN_PF_YearY!L43:'EN_PF_YearY'!L44)/5,AND(OR(EN_PF_YearZ!D20="Year 2",EN_PF_YearZ!J14 =2),SUM(EN_PF_YearZ!L43:'EN_PF_YearZ'!L44)/5&lt;&gt;"",EN_PF_YearZ!L43&lt;&gt;"",EN_PF_YearZ!L44&lt;&gt;""),SUM(EN_PF_YearZ!L43:'EN_PF_YearZ'!L44)/5,AND(EN_PF_Year3!D20&lt;&gt;"Year 2",EN_PF_Year3!J14 &lt;&gt;2,EN_PF_YearY!D20&lt;&gt;"Year 2",EN_PF_YearY!J14 &lt;&gt;2,EN_PF_YearZ!D20&lt;&gt;"Year 2",EN_PF_YearZ!J14 &lt;&gt;3),"",AND(OR(EN_PF_Year3!D20="Year 2",EN_PF_Year3!J14 =2),OR(EN_PF_Year3!L43="",EN_PF_Year3!L44="")),"",AND(OR(EN_PF_YearY!D20="Year 2",EN_PF_YearY!J14 =2),OR(EN_PF_YearY!L43="",EN_PF_YearY!L44="")),"",AND(OR(EN_PF_YearZ!D20="Year 2",EN_PF_YearZ!J14 =2),OR(EN_PF_YearZ!L43="",EN_PF_YearZ!L44="")),"")</f>
        <v/>
      </c>
      <c r="G59" s="44" t="str" cm="1">
        <f t="array" ref="G59">_xlfn.IFS(AND(OR(EN_PF_Year3!D20="Year 3",EN_PF_Year3!J14 =3),SUM(EN_PF_Year3!L43:'EN_PF_Year3'!L44)/5&lt;&gt;"",EN_PF_Year3!L43&lt;&gt;"",EN_PF_Year3!L44&lt;&gt;""),SUM(EN_PF_Year3!L43:'EN_PF_Year3'!L44)/5,AND(OR(EN_PF_YearY!D20="Year 3",EN_PF_YearY!J14 =3),SUM(EN_PF_YearY!L43:'EN_PF_YearY'!L44)/5&lt;&gt;"",EN_PF_YearY!L43&lt;&gt;"",EN_PF_YearY!L44&lt;&gt;""),SUM(EN_PF_YearY!L43:'EN_PF_YearY'!L44)/5,AND(OR(EN_PF_YearZ!D20="Year 3",EN_PF_YearZ!J14 =3),SUM(EN_PF_YearZ!L43:'EN_PF_YearZ'!L44)/5&lt;&gt;"",EN_PF_YearZ!L43&lt;&gt;"",EN_PF_YearZ!L44&lt;&gt;""),SUM(EN_PF_YearZ!L43:'EN_PF_YearZ'!L44)/5,AND(EN_PF_Year3!D20&lt;&gt;"Year 3",EN_PF_Year3!J14 &lt;&gt;3,EN_PF_YearY!D20&lt;&gt;"Year 3",EN_PF_YearY!J14 &lt;&gt;3,EN_PF_YearZ!D20&lt;&gt;"Year 3",EN_PF_YearZ!J14 &lt;&gt;3),"",AND(OR(EN_PF_Year3!D20="Year 3",EN_PF_Year3!J14 =3),OR(EN_PF_Year3!L43="",EN_PF_Year3!L44="")),"",AND(OR(EN_PF_YearY!D20="Year 3",EN_PF_YearY!J14 =3),OR(EN_PF_YearY!L43="",EN_PF_YearY!L44="")),"",AND(OR(EN_PF_YearZ!D20="Year 3",EN_PF_YearZ!J14 =3),OR(EN_PF_YearZ!L43="",EN_PF_YearZ!L44="")),"")</f>
        <v/>
      </c>
      <c r="H59" s="40"/>
      <c r="I59" s="333" cm="1">
        <f t="array" ref="I59">_xlfn.IFS(AND(D59&lt;&gt;"",D60&lt;&gt;"",D61&lt;&gt;"",D62&lt;&gt;""),SUM(D59:D62)/12,OR(D59="",D60="",D61="",D62=""),"")</f>
        <v>0.41666666666666669</v>
      </c>
      <c r="J59" s="320" t="str" cm="1">
        <f t="array" ref="J59">_xlfn.IFS(AND(E59&lt;&gt;"",E60&lt;&gt;"",E61&lt;&gt;"",E62&lt;&gt;""),AVERAGE(E59:E62),OR(E59="",E60="",E61="",E62=""),"")</f>
        <v/>
      </c>
      <c r="K59" s="333" t="str" cm="1">
        <f t="array" ref="K59">_xlfn.IFS(AND(F59&lt;&gt;"",F60&lt;&gt;"",F61&lt;&gt;"",F62&lt;&gt;""),AVERAGE(F59:F62),OR(F59="",F60="",F61="",F62=""),"")</f>
        <v/>
      </c>
      <c r="L59" s="333" t="str" cm="1">
        <f t="array" ref="L59">_xlfn.IFS(AND(G59&lt;&gt;"",G60&lt;&gt;"",G61&lt;&gt;"",G62&lt;&gt;""),AVERAGE(G59:G62),OR(G59="",G60="",G61="",G62=""),"")</f>
        <v/>
      </c>
      <c r="M59" s="39"/>
      <c r="N59" s="119" t="str" cm="1">
        <f t="array" ref="N59">_xlfn.IFS(D59="","", D59=0,"0",D59=1,"1", D59=2,"2",D59=3,"3")</f>
        <v>1</v>
      </c>
      <c r="O59" s="35"/>
      <c r="P59" s="35"/>
      <c r="Q59" s="35"/>
      <c r="R59" s="35"/>
      <c r="S59" s="35"/>
      <c r="T59" s="35"/>
      <c r="U59" s="35"/>
      <c r="V59" s="35"/>
      <c r="W59" s="35"/>
      <c r="X59" s="35"/>
      <c r="AB59" s="64">
        <v>0.25</v>
      </c>
      <c r="AC59" s="65">
        <v>0.57999999999999996</v>
      </c>
      <c r="AD59" s="65">
        <v>0.9</v>
      </c>
    </row>
    <row r="60" spans="1:30" ht="70.349999999999994" customHeight="1" x14ac:dyDescent="0.25">
      <c r="A60" s="17"/>
      <c r="B60" s="352"/>
      <c r="C60" s="45" t="s">
        <v>183</v>
      </c>
      <c r="D60" s="208">
        <f>IF(EN_EvolutionThreshold_Transfer!D25="","",EN_EvolutionThreshold_Transfer!D25)</f>
        <v>1</v>
      </c>
      <c r="E60" s="44" t="str" cm="1">
        <f t="array" ref="E60">_xlfn.IFS(AND(OR(EN_PF_Year3!D20="Year 1",EN_PF_Year3!J14 =1),EN_PF_Year3!L45/3&lt;&gt;"",EN_PF_Year3!L45&lt;&gt;""),EN_PF_Year3!L45/3,AND(OR(EN_PF_YearY!D20="Year 1",EN_PF_YearY!J14 =1),EN_PF_YearY!L45/3&lt;&gt;"",EN_PF_YearY!L45&lt;&gt;""),EN_PF_YearY!L45/3,AND(OR(EN_PF_YearZ!D20="Year 1",EN_PF_YearZ!J14 =1),EN_PF_YearZ!L45/3&lt;&gt;"",EN_PF_YearZ!L45&lt;&gt;""),EN_PF_YearZ!L45/3,AND(EN_PF_Year3!D20&lt;&gt;"Year 1",EN_PF_Year3!J14 &lt;&gt;1,EN_PF_YearY!D20&lt;&gt;"Year 1",EN_PF_YearY!J14 &lt;&gt;1,EN_PF_YearZ!D20&lt;&gt;"Year 1",EN_PF_YearZ!J14 &lt;&gt;1),"",AND(OR(EN_PF_Year3!D20="Year 1",EN_PF_Year3!J14 =1),EN_PF_Year3!L45=""),"",AND(OR(EN_PF_YearY!D20="Year 1",EN_PF_YearY!J14 =1),EN_PF_YearY!L45=""),"",AND(OR(EN_PF_YearZ!D20="Year 1",EN_PF_YearZ!J14 =1),EN_PF_YearZ!L45=""),"")</f>
        <v/>
      </c>
      <c r="F60" s="44" t="str" cm="1">
        <f t="array" ref="F60">_xlfn.IFS(AND(OR(EN_PF_Year3!D20="Year 2",EN_PF_Year3!J14 =2),EN_PF_Year3!L45/3&lt;&gt;"",EN_PF_Year3!L45&lt;&gt;""),EN_PF_Year3!L45/3,AND(OR(EN_PF_YearY!D20="Year 2",EN_PF_YearY!J14 =2),EN_PF_YearY!L45/3&lt;&gt;"",EN_PF_YearY!L45&lt;&gt;""),EN_PF_YearY!L45/3,AND(OR(EN_PF_YearZ!D20="Year 2",EN_PF_YearZ!J14 =2),EN_PF_YearZ!L45/3&lt;&gt;"",EN_PF_YearZ!L45&lt;&gt;""),EN_PF_YearZ!L45/3,AND(EN_PF_Year3!D20&lt;&gt;"Year 2",EN_PF_Year3!J14 &lt;&gt;2,EN_PF_YearY!D20&lt;&gt;"Year 2",EN_PF_YearY!J14 &lt;&gt;2,EN_PF_YearZ!D20&lt;&gt;"Year 2",EN_PF_YearZ!J14 &lt;&gt;2),"",AND(OR(EN_PF_Year3!D20="Year 2",EN_PF_Year3!J14 =2),EN_PF_Year3!L45=""),"",AND(OR(EN_PF_YearY!D20="Year 2",EN_PF_YearY!J14 =2),EN_PF_YearY!L45=""),"",AND(OR(EN_PF_YearZ!D20="Year 2",EN_PF_YearZ!J14 =2),EN_PF_YearZ!L45=""),"")</f>
        <v/>
      </c>
      <c r="G60" s="44" t="str" cm="1">
        <f t="array" ref="G60">_xlfn.IFS(AND(OR(EN_PF_Year3!D20="Year 3",EN_PF_Year3!J14 =3),EN_PF_Year3!L45/3&lt;&gt;"",EN_PF_Year3!L45&lt;&gt;""),EN_PF_Year3!L45/3,AND(OR(EN_PF_YearY!D20="Year 3",EN_PF_YearY!J14 =3),EN_PF_YearY!L45/3&lt;&gt;"",EN_PF_YearY!L45&lt;&gt;""),EN_PF_YearY!L45/3,AND(OR(EN_PF_YearZ!D20="Year 3",EN_PF_YearZ!J14 =3),EN_PF_YearZ!L45/3&lt;&gt;"",EN_PF_YearZ!L45&lt;&gt;""),EN_PF_YearZ!L45/3,AND(EN_PF_Year3!D20&lt;&gt;"Year 3",EN_PF_Year3!J14 &lt;&gt;3,EN_PF_YearY!D20&lt;&gt;"Year 3",EN_PF_YearY!J14 &lt;&gt;3,EN_PF_YearZ!D20&lt;&gt;"Year 3",EN_PF_YearZ!J14 &lt;&gt;3),"",AND(OR(EN_PF_Year3!D20="Year 3",EN_PF_Year3!J14 =3),EN_PF_Year3!L45=""),"",AND(OR(EN_PF_YearY!D20="Year 3",EN_PF_YearY!J14 =3),EN_PF_YearY!L45=""),"",AND(OR(EN_PF_YearZ!D20="Year 3",EN_PF_YearZ!J14 =3),EN_PF_YearZ!L45=""),"")</f>
        <v/>
      </c>
      <c r="H60" s="40"/>
      <c r="I60" s="333"/>
      <c r="J60" s="320"/>
      <c r="K60" s="333"/>
      <c r="L60" s="333"/>
      <c r="M60" s="39"/>
      <c r="N60" s="119" t="str" cm="1">
        <f t="array" ref="N60">_xlfn.IFS(D60="","", D60=0,"0",D60=1,"1", D60=2,"2",D60=3,"3")</f>
        <v>1</v>
      </c>
      <c r="O60" s="35"/>
      <c r="P60" s="35"/>
      <c r="Q60" s="35"/>
      <c r="R60" s="35"/>
      <c r="S60" s="35"/>
      <c r="T60" s="35"/>
      <c r="U60" s="35"/>
      <c r="V60" s="35"/>
      <c r="W60" s="35"/>
      <c r="X60" s="35"/>
      <c r="AB60" s="66"/>
    </row>
    <row r="61" spans="1:30" ht="70.349999999999994" customHeight="1" x14ac:dyDescent="0.25">
      <c r="A61" s="17"/>
      <c r="B61" s="352"/>
      <c r="C61" s="47" t="s">
        <v>184</v>
      </c>
      <c r="D61" s="208">
        <f>IF(EN_EvolutionThreshold_Transfer!D26="","",EN_EvolutionThreshold_Transfer!D26)</f>
        <v>2</v>
      </c>
      <c r="E61" s="44" t="str" cm="1">
        <f t="array" ref="E61">_xlfn.IFS(AND(OR(EN_PF_Year3!D20="Year 1",EN_PF_Year3!J14 =1),EN_PF_Year3!L46/3&lt;&gt;"",EN_PF_Year3!L46&lt;&gt;""),EN_PF_Year3!L46/3,AND(OR(EN_PF_YearY!D20="Year 1",EN_PF_YearY!J14 =1),EN_PF_YearY!L46/3&lt;&gt;"",EN_PF_YearY!L46&lt;&gt;""),EN_PF_YearY!L46/3,AND(OR(EN_PF_YearZ!D20="Year 1",EN_PF_YearZ!J14 =1),EN_PF_YearZ!L46/3&lt;&gt;"",EN_PF_YearZ!L46&lt;&gt;""),EN_PF_YearZ!L46/3,AND(EN_PF_Year3!D20&lt;&gt;"Year 1",EN_PF_Year3!J14 &lt;&gt;1,EN_PF_YearY!D20&lt;&gt;"Year 1",EN_PF_YearY!J14 &lt;&gt;1,EN_PF_YearZ!D20&lt;&gt;"Year 1",EN_PF_YearZ!J14 &lt;&gt;1),"",AND(OR(EN_PF_Year3!D20="Year 1",EN_PF_Year3!J14 =1),EN_PF_Year3!L46=""),"",AND(OR(EN_PF_YearY!D20="Year 1",EN_PF_YearY!J14 =1),EN_PF_YearY!L46=""),"",AND(OR(EN_PF_YearZ!D20="Year 1",EN_PF_YearZ!J14 =1),EN_PF_YearZ!L46=""),"")</f>
        <v/>
      </c>
      <c r="F61" s="44" t="str" cm="1">
        <f t="array" ref="F61">_xlfn.IFS(AND(OR(EN_PF_Year3!D20="Year 2",EN_PF_Year3!J14 =2),EN_PF_Year3!L46/3&lt;&gt;"",EN_PF_Year3!L46&lt;&gt;""),EN_PF_Year3!L46/3,AND(OR(EN_PF_YearY!D20="Year 2",EN_PF_YearY!J14 =2),EN_PF_YearY!L46/3&lt;&gt;"",EN_PF_YearY!L46&lt;&gt;""),EN_PF_YearY!L46/3,AND(OR(EN_PF_YearZ!D20="Year 2",EN_PF_YearZ!J14 =2),EN_PF_YearZ!L46/3&lt;&gt;"",EN_PF_YearZ!L46&lt;&gt;""),EN_PF_YearZ!L46/3,AND(EN_PF_Year3!D20&lt;&gt;"Year 2",EN_PF_Year3!J14 &lt;&gt;2,EN_PF_YearY!D20&lt;&gt;"Year 2",EN_PF_YearY!J14 &lt;&gt;2,EN_PF_YearZ!D20&lt;&gt;"Year 2",EN_PF_YearZ!J14 &lt;&gt;2),"",AND(OR(EN_PF_Year3!D20="Year 2",EN_PF_Year3!J14 =2),EN_PF_Year3!L46=""),"",AND(OR(EN_PF_YearY!D20="Year 2",EN_PF_YearY!J14 =2),EN_PF_YearY!L46=""),"",AND(OR(EN_PF_YearZ!D20="Year 2",EN_PF_YearZ!J14 =2),EN_PF_YearZ!L46=""),"")</f>
        <v/>
      </c>
      <c r="G61" s="44" t="str" cm="1">
        <f t="array" ref="G61">_xlfn.IFS(AND(OR(EN_PF_Year3!D20="Year 3",EN_PF_Year3!J14 =3),EN_PF_Year3!L46/3&lt;&gt;"",EN_PF_Year3!L46&lt;&gt;""),EN_PF_Year3!L46/3,AND(OR(EN_PF_YearY!D20="Year 3",EN_PF_YearY!J14 =3),EN_PF_YearY!L46/3&lt;&gt;"",EN_PF_YearY!L46&lt;&gt;""),EN_PF_YearY!L46/3,AND(OR(EN_PF_YearZ!D20="Year 3",EN_PF_YearZ!J14 =3),EN_PF_YearZ!L46/3&lt;&gt;"",EN_PF_YearZ!L46&lt;&gt;""),EN_PF_YearZ!L46/3,AND(EN_PF_Year3!D20&lt;&gt;"Year 3",EN_PF_Year3!J14 &lt;&gt;3,EN_PF_YearY!D20&lt;&gt;"Year 3",EN_PF_YearY!J14 &lt;&gt;3,EN_PF_YearZ!D20&lt;&gt;"Year 3",EN_PF_YearZ!J14 &lt;&gt;3),"",AND(OR(EN_PF_Year3!D20="Year 3",EN_PF_Year3!J14 =3),EN_PF_Year3!L46=""),"",AND(OR(EN_PF_YearY!D20="Year 3",EN_PF_YearY!J14 =3),EN_PF_YearY!L46=""),"",AND(OR(EN_PF_YearZ!D20="Year 3",EN_PF_YearZ!J14 =3),EN_PF_YearZ!L46=""),"")</f>
        <v/>
      </c>
      <c r="H61" s="40"/>
      <c r="I61" s="333"/>
      <c r="J61" s="320"/>
      <c r="K61" s="333"/>
      <c r="L61" s="333"/>
      <c r="M61" s="39"/>
      <c r="N61" s="119" t="str" cm="1">
        <f t="array" ref="N61">_xlfn.IFS(D61="","", D61=0,"0",D61=1,"1", D61=2,"2",D61=3,"3")</f>
        <v>2</v>
      </c>
      <c r="O61" s="35"/>
      <c r="P61" s="35"/>
      <c r="Q61" s="35"/>
      <c r="R61" s="35"/>
      <c r="S61" s="35"/>
      <c r="T61" s="35"/>
      <c r="U61" s="35"/>
      <c r="V61" s="35"/>
      <c r="W61" s="35"/>
      <c r="X61" s="35"/>
      <c r="AB61" s="66"/>
    </row>
    <row r="62" spans="1:30" ht="70.349999999999994" customHeight="1" x14ac:dyDescent="0.25">
      <c r="A62" s="17"/>
      <c r="B62" s="353"/>
      <c r="C62" s="215" t="s">
        <v>680</v>
      </c>
      <c r="D62" s="208">
        <f>IF(EN_EvolutionThreshold_Transfer!D27="","",EN_EvolutionThreshold_Transfer!D27)</f>
        <v>1</v>
      </c>
      <c r="E62" s="44" t="str" cm="1">
        <f t="array" ref="E62">_xlfn.IFS(AND(OR(EN_PF_Year3!D20="Year 1",EN_PF_Year3!J14 =1),EN_PF_Year3!L47/3&lt;&gt;"",EN_PF_Year3!L47&lt;&gt;""),EN_PF_Year3!L47/3,AND(OR(EN_PF_YearY!D20="Year 1",EN_PF_YearY!J14 =1),EN_PF_YearY!L47/3&lt;&gt;"",EN_PF_YearY!L47&lt;&gt;""),EN_PF_YearY!L47/3,AND(OR(EN_PF_YearZ!D20="Year 1",EN_PF_YearZ!J14 =1),EN_PF_YearZ!L47/3&lt;&gt;"",EN_PF_YearZ!L47&lt;&gt;""),EN_PF_YearZ!L47/3,AND(EN_PF_Year3!D20&lt;&gt;"Year 1",EN_PF_Year3!J14 &lt;&gt;1,EN_PF_YearY!D20&lt;&gt;"Year 1",EN_PF_YearY!J14 &lt;&gt;1,EN_PF_YearZ!D20&lt;&gt;"Year 1",EN_PF_YearZ!J14 &lt;&gt;1),"",AND(OR(EN_PF_Year3!D20="Year 1",EN_PF_Year3!J14 =1),EN_PF_Year3!L47=""),"",AND(OR(EN_PF_YearY!D20="Year 1",EN_PF_YearY!J14 =1),EN_PF_YearY!L47=""),"",AND(OR(EN_PF_YearZ!D20="Year 1",EN_PF_YearZ!J14 =1),EN_PF_YearZ!L47=""),"")</f>
        <v/>
      </c>
      <c r="F62" s="44" t="str" cm="1">
        <f t="array" ref="F62">_xlfn.IFS(AND(OR(EN_PF_Year3!D20="Year 2",EN_PF_Year3!J14 =2),EN_PF_Year3!L47/3&lt;&gt;"",EN_PF_Year3!L47&lt;&gt;""),EN_PF_Year3!L47/3,AND(OR(EN_PF_YearY!D20="Year 2",EN_PF_YearY!J14 =2),EN_PF_YearY!L47/3&lt;&gt;"",EN_PF_YearY!L47&lt;&gt;""),EN_PF_YearY!L47/3,AND(OR(EN_PF_YearZ!D20="Year 2",EN_PF_YearZ!J14 =2),EN_PF_YearZ!L47/3&lt;&gt;"",EN_PF_YearZ!L47&lt;&gt;""),EN_PF_YearZ!L47/3,AND(EN_PF_Year3!D20&lt;&gt;"Year 2",EN_PF_Year3!J14 &lt;&gt;2,EN_PF_YearY!D20&lt;&gt;"Year 2",EN_PF_YearY!J14 &lt;&gt;2,EN_PF_YearZ!D20&lt;&gt;"Year 2",EN_PF_YearZ!J14 &lt;&gt;2),"",AND(OR(EN_PF_Year3!D20="Year 2",EN_PF_Year3!J14 =2),EN_PF_Year3!L47=""),"",AND(OR(EN_PF_YearY!D20="Year 2",EN_PF_YearY!J14 =2),EN_PF_YearY!L47=""),"",AND(OR(EN_PF_YearZ!D20="Year 2",EN_PF_YearZ!J14 =2),EN_PF_YearZ!L47=""),"")</f>
        <v/>
      </c>
      <c r="G62" s="44" t="str" cm="1">
        <f t="array" ref="G62">_xlfn.IFS(AND(OR(EN_PF_Year3!D20="Year 3",EN_PF_Year3!J14 =3),EN_PF_Year3!L47/3&lt;&gt;"",EN_PF_Year3!L47&lt;&gt;""),EN_PF_Year3!L47/3,AND(OR(EN_PF_YearY!D20="Year 3",EN_PF_YearY!J14 =3),EN_PF_YearY!L47/3&lt;&gt;"",EN_PF_YearY!L47&lt;&gt;""),EN_PF_YearY!L47/3,AND(OR(EN_PF_YearZ!D20="Year 3",EN_PF_YearZ!J14 =3),EN_PF_YearZ!L47/3&lt;&gt;"",EN_PF_YearZ!L47&lt;&gt;""),EN_PF_YearZ!L47/3,AND(EN_PF_Year3!D20&lt;&gt;"Year 3",EN_PF_Year3!J14 &lt;&gt;3,EN_PF_YearY!D20&lt;&gt;"Year 3",EN_PF_YearY!J14 &lt;&gt;3,EN_PF_YearZ!D20&lt;&gt;"Year 3",EN_PF_YearZ!J14 &lt;&gt;3),"",AND(OR(EN_PF_Year3!D20="Year 3",EN_PF_Year3!J14 =3),EN_PF_Year3!L47=""),"",AND(OR(EN_PF_YearY!D20="Year 3",EN_PF_YearY!J14 =3),EN_PF_YearY!L47=""),"",AND(OR(EN_PF_YearZ!D20="Year 3",EN_PF_YearZ!J14 =3),EN_PF_YearZ!L47=""),"")</f>
        <v/>
      </c>
      <c r="H62" s="40"/>
      <c r="I62" s="333"/>
      <c r="J62" s="320"/>
      <c r="K62" s="333"/>
      <c r="L62" s="333"/>
      <c r="M62" s="39"/>
      <c r="N62" s="119" t="str" cm="1">
        <f t="array" ref="N62">_xlfn.IFS(D62="","", D62=0,"0",D62=1,"1", D62=2,"2",D62=3,"3")</f>
        <v>1</v>
      </c>
      <c r="O62" s="35"/>
      <c r="P62" s="35"/>
      <c r="Q62" s="35"/>
      <c r="R62" s="35"/>
      <c r="S62" s="35"/>
      <c r="T62" s="35"/>
      <c r="U62" s="35"/>
      <c r="V62" s="35"/>
      <c r="W62" s="35"/>
      <c r="X62" s="35"/>
      <c r="AB62" s="66"/>
    </row>
    <row r="63" spans="1:30" ht="70.349999999999994" customHeight="1" x14ac:dyDescent="0.25">
      <c r="A63" s="17"/>
      <c r="B63" s="334" t="s">
        <v>118</v>
      </c>
      <c r="C63" s="45" t="s">
        <v>186</v>
      </c>
      <c r="D63" s="208">
        <f>IF(EN_EvolutionThreshold_Transfer!D29="","",EN_EvolutionThreshold_Transfer!D29)</f>
        <v>2</v>
      </c>
      <c r="E63" s="44" t="str" cm="1">
        <f t="array" ref="E63">_xlfn.IFS(AND(OR(EN_PF_Year3!D20="Year 1",EN_PF_Year3!J14 =1),SUM(EN_PF_Year3!L48:'EN_PF_Year3'!L50)/9&lt;&gt;"",EN_PF_Year3!L48&lt;&gt;"",EN_PF_Year3!L49&lt;&gt;"",EN_PF_Year3!L50&lt;&gt;""),SUM(EN_PF_Year3!L48:'EN_PF_Year3'!L50)/9,AND(OR(EN_PF_YearY!D20="Year 1",EN_PF_YearY!J14 =1),SUM(EN_PF_YearY!L48:'EN_PF_YearY'!L50)/9&lt;&gt;"",EN_PF_YearY!L48&lt;&gt;"",EN_PF_YearY!L49&lt;&gt;"",EN_PF_YearY!L50&lt;&gt;""),SUM(EN_PF_YearY!L48:'EN_PF_YearY'!L50)/9,AND(OR(EN_PF_YearZ!D20="Year 1",EN_PF_YearZ!J14 =1),SUM(EN_PF_YearZ!L48:'EN_PF_YearZ'!L50)/9&lt;&gt;"",EN_PF_YearZ!L48&lt;&gt;"",EN_PF_YearZ!L49&lt;&gt;"",EN_PF_YearZ!L50&lt;&gt;""),SUM(EN_PF_YearZ!L48:'EN_PF_YearZ'!L50)/9,AND(EN_PF_Year3!D20&lt;&gt;"Year 1",EN_PF_Year3!J14 &lt;&gt;1,EN_PF_YearY!D20&lt;&gt;"Year 1",EN_PF_YearY!J14 &lt;&gt;1,EN_PF_YearZ!D20&lt;&gt;"Year 1",EN_PF_YearZ!J14 &lt;&gt;1),"",AND(OR(EN_PF_Year3!D20="Year 1",EN_PF_Year3!J14 =1),OR(EN_PF_Year3!L48="",EN_PF_Year3!L49="",EN_PF_Year3!L50="")),"",AND(OR(EN_PF_YearY!D20="Year 1",EN_PF_YearY!J14 =1),OR(EN_PF_YearY!L48="",EN_PF_YearY!L49="",EN_PF_YearY!L50="")),"",AND(OR(EN_PF_YearZ!D20="Year 1",EN_PF_YearZ!J14 =1),OR(EN_PF_YearZ!L48="",EN_PF_YearZ!L49="",EN_PF_YearZ!L50="")),"")</f>
        <v/>
      </c>
      <c r="F63" s="44" t="str" cm="1">
        <f t="array" ref="F63">_xlfn.IFS(AND(OR(EN_PF_Year3!D20="Year 2",EN_PF_Year3!J14 =2),SUM(EN_PF_Year3!L48:'EN_PF_Year3'!L50)/9&lt;&gt;"",EN_PF_Year3!L48&lt;&gt;"",EN_PF_Year3!L49&lt;&gt;"",EN_PF_Year3!L50&lt;&gt;""),SUM(EN_PF_Year3!L48:'EN_PF_Year3'!L50)/9,AND(OR(EN_PF_YearY!D20="Year 2",EN_PF_YearY!J14 =2),SUM(EN_PF_YearY!L48:'EN_PF_YearY'!L50)/9&lt;&gt;"",EN_PF_YearY!L48&lt;&gt;"",EN_PF_YearY!L49&lt;&gt;"",EN_PF_YearY!L50&lt;&gt;""),SUM(EN_PF_YearY!L48:'EN_PF_YearY'!L50)/9,AND(OR(EN_PF_YearZ!D20="Year 2",EN_PF_YearZ!J14 =2),SUM(EN_PF_YearZ!L48:'EN_PF_YearZ'!L50)/9&lt;&gt;"",EN_PF_YearZ!L48&lt;&gt;"",EN_PF_YearZ!L49&lt;&gt;"",EN_PF_YearZ!L50&lt;&gt;""),SUM(EN_PF_YearZ!L48:'EN_PF_YearZ'!L50)/9,AND(EN_PF_Year3!D20&lt;&gt;"Year 2",EN_PF_Year3!J14 &lt;&gt;2,EN_PF_YearY!D20&lt;&gt;"Year 2",EN_PF_YearY!J14 &lt;&gt;2,EN_PF_YearZ!D20&lt;&gt;"Year 2",EN_PF_YearZ!J14 &lt;&gt;2),"",AND(OR(EN_PF_Year3!D20="Year 2",EN_PF_Year3!J14 =2),OR(EN_PF_Year3!L48="",EN_PF_Year3!L49="",EN_PF_Year3!L50="")),"",AND(OR(EN_PF_YearY!D20="Year 2",EN_PF_YearY!J14 =2),OR(EN_PF_YearY!L48="",EN_PF_YearY!L49="",EN_PF_YearY!L50="")),"",AND(OR(EN_PF_YearZ!D20="Year 2",EN_PF_YearZ!J14 =2),OR(EN_PF_YearZ!L48="",EN_PF_YearZ!L49="",EN_PF_YearZ!L50="")),"")</f>
        <v/>
      </c>
      <c r="G63" s="44" t="str" cm="1">
        <f t="array" ref="G63">_xlfn.IFS(AND(OR(EN_PF_Year3!D20="Year 3",EN_PF_Year3!J14 =3),SUM(EN_PF_Year3!L48:'EN_PF_Year3'!L50)/9&lt;&gt;"",EN_PF_Year3!L48&lt;&gt;"",EN_PF_Year3!L49&lt;&gt;"",EN_PF_Year3!L50&lt;&gt;""),SUM(EN_PF_Year3!L48:'EN_PF_Year3'!L50)/9,AND(OR(EN_PF_YearY!D20="Year 3",EN_PF_YearY!J14 =3),SUM(EN_PF_YearY!L48:'EN_PF_YearY'!L50)/9&lt;&gt;"",EN_PF_YearY!L48&lt;&gt;"",EN_PF_YearY!L49&lt;&gt;"",EN_PF_YearY!L50&lt;&gt;""),SUM(EN_PF_YearY!L48:'EN_PF_YearY'!L50)/9,AND(OR(EN_PF_YearZ!D20="Year 3",EN_PF_YearZ!J14 =3),SUM(EN_PF_YearZ!L48:'EN_PF_YearZ'!L50)/9&lt;&gt;"",EN_PF_YearZ!L48&lt;&gt;"",EN_PF_YearZ!L49&lt;&gt;"",EN_PF_YearZ!L50&lt;&gt;""),SUM(EN_PF_YearZ!L48:'EN_PF_YearZ'!L50)/9,AND(EN_PF_Year3!D20&lt;&gt;"Year 3",EN_PF_Year3!J14 &lt;&gt;3,EN_PF_YearY!D20&lt;&gt;"Year 3",EN_PF_YearY!J14 &lt;&gt;3,EN_PF_YearZ!D20&lt;&gt;"Year 3",EN_PF_YearZ!J14 &lt;&gt;3),"",AND(OR(EN_PF_Year3!D20="Year 3",EN_PF_Year3!J14 =3),OR(EN_PF_Year3!L48="",EN_PF_Year3!L49="",EN_PF_Year3!L50="")),"",AND(OR(EN_PF_YearY!D20="Year 3",EN_PF_YearY!J14 =3),OR(EN_PF_YearY!L48="",EN_PF_YearY!L49="",EN_PF_YearY!L50="")),"",AND(OR(EN_PF_YearZ!D20="Year 3",EN_PF_YearZ!J14 =3),OR(EN_PF_YearZ!L48="",EN_PF_YearZ!L49="",EN_PF_YearZ!L50="")),"")</f>
        <v/>
      </c>
      <c r="H63" s="40"/>
      <c r="I63" s="333" cm="1">
        <f t="array" ref="I63">_xlfn.IFS(AND(D63&lt;&gt;"",D64&lt;&gt;"",D65&lt;&gt;"",D66&lt;&gt;""),SUM(D63:D66)/12,OR(D63="",D64="",D65="",D66=""),"")</f>
        <v>0.75</v>
      </c>
      <c r="J63" s="320" t="str" cm="1">
        <f t="array" ref="J63">_xlfn.IFS(AND(E63&lt;&gt;"",E64&lt;&gt;"",E65&lt;&gt;"",E66&lt;&gt;""),AVERAGE(E63:E66),OR(E63="",E64="",E65="",E66=""),"")</f>
        <v/>
      </c>
      <c r="K63" s="333" t="str" cm="1">
        <f t="array" ref="K63">_xlfn.IFS(AND(F63&lt;&gt;"",F64&lt;&gt;"",F65&lt;&gt;"",F66&lt;&gt;""),AVERAGE(F63:F66),OR(F63="",F64="",F65="",F66=""),"")</f>
        <v/>
      </c>
      <c r="L63" s="333" t="str" cm="1">
        <f t="array" ref="L63">_xlfn.IFS(AND(G63&lt;&gt;"",G64&lt;&gt;"",G65&lt;&gt;"",G66&lt;&gt;""),AVERAGE(G63:G66),OR(G63="",G64="",G65="",G66=""),"")</f>
        <v/>
      </c>
      <c r="M63" s="39"/>
      <c r="N63" s="119" t="str" cm="1">
        <f t="array" ref="N63">_xlfn.IFS(D63="","", D63=0,"0",D63=1,"1", D63=2,"2",D63=3,"3")</f>
        <v>2</v>
      </c>
      <c r="O63" s="35"/>
      <c r="P63" s="35"/>
      <c r="Q63" s="35"/>
      <c r="R63" s="35"/>
      <c r="S63" s="35"/>
      <c r="T63" s="35"/>
      <c r="U63" s="35"/>
      <c r="V63" s="35"/>
      <c r="W63" s="35"/>
      <c r="X63" s="35"/>
      <c r="AB63" s="64">
        <v>0.25</v>
      </c>
      <c r="AC63" s="65">
        <v>0.57999999999999996</v>
      </c>
      <c r="AD63" s="65">
        <v>0.9</v>
      </c>
    </row>
    <row r="64" spans="1:30" ht="70.349999999999994" customHeight="1" x14ac:dyDescent="0.25">
      <c r="A64" s="17"/>
      <c r="B64" s="335"/>
      <c r="C64" s="45" t="s">
        <v>683</v>
      </c>
      <c r="D64" s="208">
        <f>IF(EN_EvolutionThreshold_Transfer!D30="","",EN_EvolutionThreshold_Transfer!D30)</f>
        <v>2</v>
      </c>
      <c r="E64" s="44" t="str" cm="1">
        <f t="array" ref="E64">_xlfn.IFS(AND(OR(EN_PF_Year3!D20="Year 1",EN_PF_Year3!J14 =1),SUM(EN_PF_Year3!L51:'EN_PF_Year3'!L53)/9&lt;&gt;"",EN_PF_Year3!L51&lt;&gt;"",EN_PF_Year3!L52&lt;&gt;"",EN_PF_Year3!L53&lt;&gt;""),SUM(EN_PF_Year3!L51:'EN_PF_Year3'!L53)/9,AND(OR(EN_PF_YearY!D20="Year 1",EN_PF_YearY!J14 =1),SUM(EN_PF_YearY!L51:'EN_PF_YearY'!L53)/9&lt;&gt;"",EN_PF_YearY!L51&lt;&gt;"",EN_PF_YearY!L52&lt;&gt;"",EN_PF_YearY!L53&lt;&gt;""),SUM(EN_PF_YearY!L51:'EN_PF_YearY'!L53)/9,AND(OR(EN_PF_YearZ!D20="Year 1",EN_PF_YearZ!J14 =1),SUM(EN_PF_YearZ!L51:'EN_PF_YearZ'!L53)/9&lt;&gt;"",EN_PF_YearZ!L51&lt;&gt;"",EN_PF_YearZ!L52&lt;&gt;"",EN_PF_YearZ!L53&lt;&gt;""),SUM(EN_PF_YearZ!L51:'EN_PF_YearZ'!L53)/9,AND(EN_PF_Year3!D20&lt;&gt;"Year 1",EN_PF_Year3!J14 &lt;&gt;1,EN_PF_YearY!D20&lt;&gt;"Year 1",EN_PF_YearY!J14 &lt;&gt;1,EN_PF_YearZ!D20&lt;&gt;"Year 1",EN_PF_YearZ!J14 &lt;&gt;1),"",AND(OR(EN_PF_Year3!D20="Year 1",EN_PF_Year3!J14 =1),OR(EN_PF_Year3!L51&lt;&gt;"",EN_PF_Year3!L52="",EN_PF_Year3!L53="")),"",AND(OR(EN_PF_YearY!D20="Year 1",EN_PF_YearY!J14 =1),OR(EN_PF_YearY!L51&lt;&gt;"",EN_PF_YearY!L52="",EN_PF_YearY!L53="")),"",AND(OR(EN_PF_YearZ!D20="Year 1",EN_PF_YearZ!J14 =1),OR(EN_PF_YearZ!L51&lt;&gt;"",EN_PF_YearZ!L52="",EN_PF_YearZ!L53="")),"")</f>
        <v/>
      </c>
      <c r="F64" s="44" t="str" cm="1">
        <f t="array" ref="F64">_xlfn.IFS(AND(OR(EN_PF_Year3!D20="Year 2",EN_PF_Year3!J14 =2),SUM(EN_PF_Year3!L51:'EN_PF_Year3'!L53)/9&lt;&gt;"",EN_PF_Year3!L51&lt;&gt;"",EN_PF_Year3!L52&lt;&gt;"",EN_PF_Year3!L53&lt;&gt;""),SUM(EN_PF_Year3!L51:'EN_PF_Year3'!L53)/9,AND(OR(EN_PF_YearY!D20="Year 2",EN_PF_YearY!J14 =2),SUM(EN_PF_YearY!L51:'EN_PF_YearY'!L53)/9&lt;&gt;"",EN_PF_YearY!L51&lt;&gt;"",EN_PF_YearY!L52&lt;&gt;"",EN_PF_YearY!L53&lt;&gt;""),SUM(EN_PF_YearY!L51:'EN_PF_YearY'!L53)/9,AND(OR(EN_PF_YearZ!D20="Year 2",EN_PF_YearZ!J14 =2),SUM(EN_PF_YearZ!L51:'EN_PF_YearZ'!L53)/9&lt;&gt;"",EN_PF_YearZ!L51&lt;&gt;"",EN_PF_YearZ!L52&lt;&gt;"",EN_PF_YearZ!L53&lt;&gt;""),SUM(EN_PF_YearZ!L51:'EN_PF_YearZ'!L53)/9,AND(EN_PF_Year3!D20&lt;&gt;"Year 2",EN_PF_Year3!J14 &lt;&gt;2,EN_PF_YearY!D20&lt;&gt;"Year 2",EN_PF_YearY!J14 &lt;&gt;2,EN_PF_YearZ!D20&lt;&gt;"Year 2",EN_PF_YearZ!J14 &lt;&gt;2),"",AND(OR(EN_PF_Year3!D20="Year 2",EN_PF_Year3!J14 =2),OR(EN_PF_Year3!L51&lt;&gt;"",EN_PF_Year3!L52="",EN_PF_Year3!L53="")),"",AND(OR(EN_PF_YearY!D20="Year 2",EN_PF_YearY!J14 =2),OR(EN_PF_YearY!L51&lt;&gt;"",EN_PF_YearY!L52="",EN_PF_YearY!L53="")),"",AND(OR(EN_PF_YearZ!D20="Year 2",EN_PF_YearZ!J14 =2),OR(EN_PF_YearZ!L51&lt;&gt;"",EN_PF_YearZ!L52="",EN_PF_YearZ!L53="")),"")</f>
        <v/>
      </c>
      <c r="G64" s="44" t="str" cm="1">
        <f t="array" ref="G64">_xlfn.IFS(AND(OR(EN_PF_Year3!D20="Year 3",EN_PF_Year3!J14 =3),SUM(EN_PF_Year3!L51:'EN_PF_Year3'!L53)/9&lt;&gt;"",EN_PF_Year3!L51&lt;&gt;"",EN_PF_Year3!L52&lt;&gt;"",EN_PF_Year3!L53&lt;&gt;""),SUM(EN_PF_Year3!L51:'EN_PF_Year3'!L53)/9,AND(OR(EN_PF_YearY!D20="Year 3",EN_PF_YearY!J14 =3),SUM(EN_PF_YearY!L51:'EN_PF_YearY'!L53)/9&lt;&gt;"",EN_PF_YearY!L51&lt;&gt;"",EN_PF_YearY!L52&lt;&gt;"",EN_PF_YearY!L53&lt;&gt;""),SUM(EN_PF_YearY!L51:'EN_PF_YearY'!L53)/9,AND(OR(EN_PF_YearZ!D20="Year 3",EN_PF_YearZ!J14 =3),SUM(EN_PF_YearZ!L51:'EN_PF_YearZ'!L53)/9&lt;&gt;"",EN_PF_YearZ!L51&lt;&gt;"",EN_PF_YearZ!L52&lt;&gt;"",EN_PF_YearZ!L53&lt;&gt;""),SUM(EN_PF_YearZ!L51:'EN_PF_YearZ'!L53)/9,AND(EN_PF_Year3!D20&lt;&gt;"Year 3",EN_PF_Year3!J14 &lt;&gt;3,EN_PF_YearY!D20&lt;&gt;"Year 3",EN_PF_YearY!J14 &lt;&gt;3,EN_PF_YearZ!D20&lt;&gt;"Year 3",EN_PF_YearZ!J14 &lt;&gt;3),"",AND(OR(EN_PF_Year3!D20="Year 3",EN_PF_Year3!J14 =3),OR(EN_PF_Year3!L51&lt;&gt;"",EN_PF_Year3!L52="",EN_PF_Year3!L53="")),"",AND(OR(EN_PF_YearY!D20="Year 3",EN_PF_YearY!J14 =3),OR(EN_PF_YearY!L51&lt;&gt;"",EN_PF_YearY!L52="",EN_PF_YearY!L53="")),"",AND(OR(EN_PF_YearZ!D20="Year 3",EN_PF_YearZ!J14 =3),OR(EN_PF_YearZ!L51&lt;&gt;"",EN_PF_YearZ!L52="",EN_PF_YearZ!L53="")),"")</f>
        <v/>
      </c>
      <c r="H64" s="40"/>
      <c r="I64" s="333"/>
      <c r="J64" s="320"/>
      <c r="K64" s="333"/>
      <c r="L64" s="333"/>
      <c r="M64" s="39"/>
      <c r="N64" s="119" t="str" cm="1">
        <f t="array" ref="N64">_xlfn.IFS(D64="","", D64=0,"0",D64=1,"1", D64=2,"2",D64=3,"3")</f>
        <v>2</v>
      </c>
      <c r="O64" s="35"/>
      <c r="P64" s="35"/>
      <c r="Q64" s="35"/>
      <c r="R64" s="35"/>
      <c r="S64" s="35"/>
      <c r="T64" s="35"/>
      <c r="U64" s="35"/>
      <c r="V64" s="35"/>
      <c r="W64" s="35"/>
      <c r="X64" s="35"/>
      <c r="AB64" s="66"/>
    </row>
    <row r="65" spans="1:28" ht="70.349999999999994" customHeight="1" x14ac:dyDescent="0.25">
      <c r="A65" s="17"/>
      <c r="B65" s="335"/>
      <c r="C65" s="96" t="s">
        <v>187</v>
      </c>
      <c r="D65" s="208">
        <f>IF(EN_EvolutionThreshold_Transfer!D31="","",EN_EvolutionThreshold_Transfer!D31)</f>
        <v>2</v>
      </c>
      <c r="E65" s="44" t="str" cm="1">
        <f t="array" ref="E65">_xlfn.IFS(AND(OR(EN_PF_Year3!D20="Year 1",EN_PF_Year3!J14 =1),SUM(EN_PF_Year3!L54:'EN_PF_Year3'!L55)/6&lt;&gt;"",EN_PF_Year3!L54&lt;&gt;"",EN_PF_Year3!L55&lt;&gt;""),SUM(EN_PF_Year3!L54:'EN_PF_Year3'!L55)/6,AND(OR(EN_PF_YearY!D20="Year 1",EN_PF_YearY!J14 =1),SUM(EN_PF_YearY!L54:'EN_PF_YearY'!L55)/6&lt;&gt;"",EN_PF_YearY!L54&lt;&gt;"",EN_PF_YearY!L55&lt;&gt;""),SUM(EN_PF_YearY!L54:'EN_PF_YearY'!L55)/6,AND(OR(EN_PF_YearZ!D20="Year 1",EN_PF_YearZ!J14 =1),SUM(EN_PF_YearZ!L54:'EN_PF_YearZ'!L55)/6&lt;&gt;"",EN_PF_YearZ!L54&lt;&gt;"",EN_PF_YearZ!L55&lt;&gt;""),SUM(EN_PF_YearZ!L54:'EN_PF_YearZ'!L55)/6,AND(EN_PF_Year3!D20&lt;&gt;"Year 1",EN_PF_Year3!J14 &lt;&gt;1,EN_PF_YearY!D20&lt;&gt;"Year 1",EN_PF_YearY!J14 &lt;&gt;1,EN_PF_YearZ!D20&lt;&gt;"Year 1",EN_PF_YearZ!J14 &lt;&gt;1),"",AND(OR(EN_PF_Year3!D20="Year 1",EN_PF_Year3!J14 =1),OR(EN_PF_Year3!L54="",EN_PF_Year3!L55="")),"",AND(OR(EN_PF_YearY!D20="Year 1",EN_PF_YearY!J14 =1),OR(EN_PF_YearY!L54="",EN_PF_YearY!L55="")),"",AND(OR(EN_PF_YearZ!D20="Year 1",EN_PF_YearZ!J14 =1),OR(EN_PF_YearZ!L54="",EN_PF_YearZ!L55="")),"")</f>
        <v/>
      </c>
      <c r="F65" s="44" t="str" cm="1">
        <f t="array" ref="F65">_xlfn.IFS(AND(OR(EN_PF_Year3!D20="Year 2",EN_PF_Year3!J14 =2),SUM(EN_PF_Year3!L54:'EN_PF_Year3'!L55)/6&lt;&gt;"",EN_PF_Year3!L54&lt;&gt;"",EN_PF_Year3!L55&lt;&gt;""),SUM(EN_PF_Year3!L54:'EN_PF_Year3'!L55)/6,AND(OR(EN_PF_YearY!D20="Year 2",EN_PF_YearY!J14 =2),SUM(EN_PF_YearY!L54:'EN_PF_YearY'!L55)/6&lt;&gt;"",EN_PF_YearY!L54&lt;&gt;"",EN_PF_YearY!L55&lt;&gt;""),SUM(EN_PF_YearY!L54:'EN_PF_YearY'!L55)/6,AND(OR(EN_PF_YearZ!D20="Year 2",EN_PF_YearZ!J14 =2),SUM(EN_PF_YearZ!L54:'EN_PF_YearZ'!L55)/6&lt;&gt;"",EN_PF_YearZ!L54&lt;&gt;"",EN_PF_YearZ!L55&lt;&gt;""),SUM(EN_PF_YearZ!L54:'EN_PF_YearZ'!L55)/6,AND(EN_PF_Year3!D20&lt;&gt;"Year 2",EN_PF_Year3!J14 &lt;&gt;2,EN_PF_YearY!D20&lt;&gt;"Year 2",EN_PF_YearY!J14 &lt;&gt;2,EN_PF_YearZ!D20&lt;&gt;"Year 2",EN_PF_YearZ!J14 &lt;&gt;2),"",AND(OR(EN_PF_Year3!D20="Year 2",EN_PF_Year3!J14 =2),OR(EN_PF_Year3!L54="",EN_PF_Year3!L55="")),"",AND(OR(EN_PF_YearY!D20="Year 2",EN_PF_YearY!J14 =2),OR(EN_PF_YearY!L54="",EN_PF_YearY!L55="")),"",AND(OR(EN_PF_YearZ!D20="Year 2",EN_PF_YearZ!J14 =2),OR(EN_PF_YearZ!L54="",EN_PF_YearZ!L55="")),"")</f>
        <v/>
      </c>
      <c r="G65" s="44" t="str" cm="1">
        <f t="array" ref="G65">_xlfn.IFS(AND(OR(EN_PF_Year3!D20="Year 3",EN_PF_Year3!J14 =3),SUM(EN_PF_Year3!L54:'EN_PF_Year3'!L55)/6&lt;&gt;"",EN_PF_Year3!L54&lt;&gt;"",EN_PF_Year3!L55&lt;&gt;""),SUM(EN_PF_Year3!L54:'EN_PF_Year3'!L55)/6,AND(OR(EN_PF_YearY!D20="Year 3",EN_PF_YearY!J14 =3),SUM(EN_PF_YearY!L54:'EN_PF_YearY'!L55)/6&lt;&gt;"",EN_PF_YearY!L54&lt;&gt;"",EN_PF_YearY!L55&lt;&gt;""),SUM(EN_PF_YearY!L54:'EN_PF_YearY'!L55)/6,AND(OR(EN_PF_YearZ!D20="Year 3",EN_PF_YearZ!J14 =3),SUM(EN_PF_YearZ!L54:'EN_PF_YearZ'!L55)/6&lt;&gt;"",EN_PF_YearZ!L54&lt;&gt;"",EN_PF_YearZ!L55&lt;&gt;""),SUM(EN_PF_YearZ!L54:'EN_PF_YearZ'!L55)/6,AND(EN_PF_Year3!D20&lt;&gt;"Year 3",EN_PF_Year3!J14 &lt;&gt;3,EN_PF_YearY!D20&lt;&gt;"Year 3",EN_PF_YearY!J14 &lt;&gt;3,EN_PF_YearZ!D20&lt;&gt;"Year 3",EN_PF_YearZ!J14 &lt;&gt;3),"",AND(OR(EN_PF_Year3!D20="Year 3",EN_PF_Year3!J14 =3),OR(EN_PF_Year3!L54="",EN_PF_Year3!L55="")),"",AND(OR(EN_PF_YearY!D20="Year 3",EN_PF_YearY!J14 =3),OR(EN_PF_YearY!L54="",EN_PF_YearY!L55="")),"",AND(OR(EN_PF_YearZ!D20="Year 3",EN_PF_YearZ!J14 =3),OR(EN_PF_YearZ!L54="",EN_PF_YearZ!L55="")),"")</f>
        <v/>
      </c>
      <c r="H65" s="40"/>
      <c r="I65" s="333"/>
      <c r="J65" s="320"/>
      <c r="K65" s="333"/>
      <c r="L65" s="333"/>
      <c r="M65" s="39"/>
      <c r="N65" s="119" t="str" cm="1">
        <f t="array" ref="N65">_xlfn.IFS(D65="","", D65=0,"0",D65=1,"1", D65=2,"2",D65=3,"3")</f>
        <v>2</v>
      </c>
      <c r="O65" s="35"/>
      <c r="P65" s="35"/>
      <c r="Q65" s="35"/>
      <c r="R65" s="35"/>
      <c r="S65" s="35"/>
      <c r="T65" s="35"/>
      <c r="U65" s="35"/>
      <c r="V65" s="35"/>
      <c r="W65" s="35"/>
      <c r="X65" s="35"/>
      <c r="AB65" s="66"/>
    </row>
    <row r="66" spans="1:28" ht="70.349999999999994" customHeight="1" x14ac:dyDescent="0.25">
      <c r="A66" s="17"/>
      <c r="B66" s="336"/>
      <c r="C66" s="28" t="s">
        <v>188</v>
      </c>
      <c r="D66" s="208">
        <f>IF(EN_EvolutionThreshold_Transfer!D32="","",EN_EvolutionThreshold_Transfer!D32)</f>
        <v>3</v>
      </c>
      <c r="E66" s="44" t="str" cm="1">
        <f t="array" ref="E66">_xlfn.IFS(AND(OR(EN_PF_Year3!D20="Year 1",EN_PF_Year3!J14 =1),EN_PF_Year3!L56/2&lt;&gt;"",EN_PF_Year3!L56&lt;&gt;""),EN_PF_Year3!L56/2,AND(OR(EN_PF_YearY!D20="Year 1",EN_PF_YearY!J14 =1),EN_PF_YearY!L56/2&lt;&gt;"",EN_PF_YearY!L56&lt;&gt;""),EN_PF_YearY!L56/2,AND(OR(EN_PF_YearZ!D20="Year 1",EN_PF_YearZ!J14 =1),EN_PF_YearZ!L56/2&lt;&gt;"",EN_PF_YearZ!L56&lt;&gt;""),EN_PF_YearZ!L56/2,AND(EN_PF_Year3!D20&lt;&gt;"Year 1",EN_PF_Year3!J14 &lt;&gt;1,EN_PF_YearY!D20&lt;&gt;"Year 1",EN_PF_YearY!J14 &lt;&gt;1,EN_PF_YearZ!D20&lt;&gt;"Year 1",EN_PF_YearZ!J14 &lt;&gt;1),"",AND(OR(EN_PF_Year3!D20="Year 1",EN_PF_Year3!J14 =1),EN_PF_Year3!L56=""),"",AND(OR(EN_PF_YearY!D20="Year 1",EN_PF_YearY!J14 =1),EN_PF_YearY!L56=""),"",AND(OR(EN_PF_YearZ!D20="Year 1",EN_PF_YearZ!J14 =1),EN_PF_YearZ!L56=""),"")</f>
        <v/>
      </c>
      <c r="F66" s="44" t="str" cm="1">
        <f t="array" ref="F66">_xlfn.IFS(AND(OR(EN_PF_Year3!D20="Year 2",EN_PF_Year3!J14 =2),EN_PF_Year3!L56/2&lt;&gt;"",EN_PF_Year3!L56&lt;&gt;""),EN_PF_Year3!L56/2,AND(OR(EN_PF_YearY!D20="Year 2",EN_PF_YearY!J14 =2),EN_PF_YearY!L56/2&lt;&gt;"",EN_PF_YearY!L56&lt;&gt;""),EN_PF_YearY!L56/2,AND(OR(EN_PF_YearZ!D20="Year 2",EN_PF_YearZ!J14 =2),EN_PF_YearZ!L56/2&lt;&gt;"",EN_PF_YearZ!L56&lt;&gt;""),EN_PF_YearZ!L56/2,AND(EN_PF_Year3!D20&lt;&gt;"Year 2",EN_PF_Year3!J14 &lt;&gt;2,EN_PF_YearY!D20&lt;&gt;"Year 2",EN_PF_YearY!J14 &lt;&gt;2,EN_PF_YearZ!D20&lt;&gt;"Year 2",EN_PF_YearZ!J14 &lt;&gt;2),"",AND(OR(EN_PF_Year3!D20="Year 2",EN_PF_Year3!J14 =2),EN_PF_Year3!L56=""),"",AND(OR(EN_PF_YearY!D20="Year 2",EN_PF_YearY!J14 =2),EN_PF_YearY!L56=""),"",AND(OR(EN_PF_YearZ!D20="Year 2",EN_PF_YearZ!J14 =2),EN_PF_YearZ!L56=""),"")</f>
        <v/>
      </c>
      <c r="G66" s="44" t="str" cm="1">
        <f t="array" ref="G66">_xlfn.IFS(AND(OR(EN_PF_Year3!D20="Year 3",EN_PF_Year3!J14 =3),EN_PF_Year3!L56/2&lt;&gt;"",EN_PF_Year3!L56&lt;&gt;""),EN_PF_Year3!L56/2,AND(OR(EN_PF_YearY!D20="Year 3",EN_PF_YearY!J14 =3),EN_PF_YearY!L56/2&lt;&gt;"",EN_PF_YearY!L56&lt;&gt;""),EN_PF_YearY!L56/2,AND(OR(EN_PF_YearZ!D20="Year 3",EN_PF_YearZ!J14 =3),EN_PF_YearZ!L56/2&lt;&gt;"",EN_PF_YearZ!L56&lt;&gt;""),EN_PF_YearZ!L56/2,AND(EN_PF_Year3!D20&lt;&gt;"Year 3",EN_PF_Year3!J14 &lt;&gt;3,EN_PF_YearY!D20&lt;&gt;"Year 3",EN_PF_YearY!J14 &lt;&gt;3,EN_PF_YearZ!D20&lt;&gt;"Year 3",EN_PF_YearZ!J14 &lt;&gt;3),"",AND(OR(EN_PF_Year3!D20="Year 3",EN_PF_Year3!J14 =3),EN_PF_Year3!L56=""),"",AND(OR(EN_PF_YearY!D20="Year 3",EN_PF_YearY!J14 =3),EN_PF_YearY!L56=""),"",AND(OR(EN_PF_YearZ!D20="Year 3",EN_PF_YearZ!J14 =3),EN_PF_YearZ!L56=""),"")</f>
        <v/>
      </c>
      <c r="H66" s="40"/>
      <c r="I66" s="333"/>
      <c r="J66" s="320"/>
      <c r="K66" s="333"/>
      <c r="L66" s="333"/>
      <c r="M66" s="39"/>
      <c r="N66" s="119" t="str" cm="1">
        <f t="array" ref="N66">_xlfn.IFS(D66="","", D66=0,"0",D66=1,"1", D66=2,"2",D66=3,"3")</f>
        <v>3</v>
      </c>
      <c r="O66" s="35"/>
      <c r="P66" s="35"/>
      <c r="Q66" s="35"/>
      <c r="R66" s="35"/>
      <c r="S66" s="35"/>
      <c r="T66" s="35"/>
      <c r="U66" s="35"/>
      <c r="V66" s="35"/>
      <c r="W66" s="35"/>
      <c r="X66" s="35"/>
      <c r="AB66" s="66"/>
    </row>
    <row r="67" spans="1:28" ht="15" customHeight="1" thickBot="1" x14ac:dyDescent="0.25">
      <c r="A67" s="17"/>
      <c r="B67" s="17"/>
      <c r="C67" s="17"/>
      <c r="D67" s="17"/>
      <c r="E67" s="17"/>
      <c r="F67" s="17"/>
      <c r="G67" s="17"/>
      <c r="H67" s="46"/>
      <c r="I67" s="17"/>
      <c r="J67" s="17"/>
      <c r="K67" s="17"/>
      <c r="L67" s="17"/>
      <c r="M67" s="17"/>
      <c r="N67" s="99"/>
      <c r="O67" s="17"/>
      <c r="P67" s="17"/>
      <c r="Q67" s="17"/>
      <c r="R67" s="17"/>
      <c r="S67" s="17"/>
      <c r="T67" s="17"/>
      <c r="U67" s="17"/>
      <c r="V67" s="17"/>
    </row>
    <row r="68" spans="1:28" ht="30.6" customHeight="1" thickBot="1" x14ac:dyDescent="0.25">
      <c r="A68" s="325" t="s">
        <v>198</v>
      </c>
      <c r="B68" s="326"/>
      <c r="C68" s="326"/>
      <c r="D68" s="326"/>
      <c r="E68" s="326"/>
      <c r="F68" s="326"/>
      <c r="G68" s="326"/>
      <c r="H68" s="326"/>
      <c r="I68" s="326"/>
      <c r="J68" s="326"/>
      <c r="K68" s="326"/>
      <c r="L68" s="326"/>
      <c r="M68" s="326"/>
      <c r="N68" s="326"/>
      <c r="O68" s="326"/>
      <c r="P68" s="326"/>
      <c r="Q68" s="326"/>
      <c r="R68" s="326"/>
      <c r="S68" s="326"/>
      <c r="T68" s="326"/>
      <c r="U68" s="326"/>
      <c r="V68" s="327"/>
    </row>
    <row r="69" spans="1:28" ht="15" customHeight="1" x14ac:dyDescent="0.2">
      <c r="A69" s="11"/>
      <c r="B69" s="11"/>
      <c r="C69" s="11"/>
      <c r="D69" s="11"/>
      <c r="E69" s="11"/>
      <c r="F69" s="11"/>
      <c r="G69" s="11"/>
      <c r="H69" s="11"/>
      <c r="I69" s="11"/>
      <c r="J69" s="11"/>
      <c r="K69" s="11"/>
      <c r="L69" s="11"/>
      <c r="M69" s="11"/>
      <c r="N69" s="76"/>
      <c r="O69" s="11"/>
      <c r="P69" s="11"/>
      <c r="Q69" s="17"/>
      <c r="R69" s="17"/>
      <c r="S69" s="17"/>
      <c r="T69" s="17"/>
      <c r="U69" s="17"/>
      <c r="V69" s="17"/>
    </row>
    <row r="70" spans="1:28" ht="16.350000000000001" customHeight="1" x14ac:dyDescent="0.25">
      <c r="A70" s="17"/>
      <c r="B70" s="4"/>
      <c r="C70" s="4"/>
      <c r="D70" s="38"/>
      <c r="E70" s="17"/>
      <c r="F70" s="17"/>
      <c r="G70" s="17"/>
      <c r="H70" s="17"/>
      <c r="I70" s="17"/>
      <c r="J70" s="17"/>
      <c r="K70" s="321" t="s">
        <v>216</v>
      </c>
      <c r="L70" s="321"/>
      <c r="M70" s="321"/>
      <c r="N70" s="321"/>
      <c r="O70" s="17"/>
      <c r="P70" s="17"/>
      <c r="Q70" s="17"/>
      <c r="R70" s="17"/>
      <c r="S70" s="17"/>
      <c r="T70" s="17"/>
      <c r="U70" s="17"/>
      <c r="V70" s="17"/>
    </row>
    <row r="71" spans="1:28" ht="41.1" customHeight="1" x14ac:dyDescent="0.2">
      <c r="A71" s="17"/>
      <c r="B71" s="94" t="s">
        <v>227</v>
      </c>
      <c r="C71" s="94" t="s">
        <v>190</v>
      </c>
      <c r="D71" s="345" t="s">
        <v>191</v>
      </c>
      <c r="E71" s="346"/>
      <c r="F71" s="347"/>
      <c r="G71" s="354" t="s">
        <v>333</v>
      </c>
      <c r="H71" s="355"/>
      <c r="I71" s="355"/>
      <c r="J71" s="17"/>
      <c r="K71" s="94" t="s">
        <v>477</v>
      </c>
      <c r="L71" s="95" t="str">
        <f>IF(OR(AND(EN_PF_Year3!D20="Year 1",EN_PF_Year3!D21="In-depth (Qualitative baseline)"), AND(EN_PF_YearY!D20="Year 1",EN_PF_YearY!D21="In-depth (Qualitative baseline)"), AND(EN_PF_YearZ!D20="Year 1",EN_PF_YearZ!D21="In-depth (Qualitative baseline)")), "Year 1 Q. B.","Year 1")</f>
        <v>Year 1</v>
      </c>
      <c r="M71" s="95" t="str">
        <f>IF(OR(AND(EN_PF_Year3!D20="Year 2",EN_PF_Year3!D21="In-depth (Qualitative baseline)"), AND(EN_PF_YearY!D20="Year 2",EN_PF_YearY!D21="In-depth (Qualitative baseline)"), AND(EN_PF_YearZ!D20="Year 2",EN_PF_YearZ!D21="In-depth (Qualitative baseline)")), "Year 2 Q. B.","Year 2")</f>
        <v>Year 2</v>
      </c>
      <c r="N71" s="103" t="str">
        <f>IF(OR(AND(EN_PF_Year3!D20="Year 3",EN_PF_Year3!D21="In-depth (Qualitative baseline)"),AND(EN_PF_YearY!D20="Year 3",EN_PF_YearY!D21="In-depth (Qualitative baseline)"),AND(EN_PF_YearZ!D20="Year 3",EN_PF_YearZ!D21="In-depth (Qualitative baseline)")),"Year 3 Q. B.","Year 3")</f>
        <v>Year 3</v>
      </c>
      <c r="O71" s="17"/>
      <c r="P71" s="116" t="s">
        <v>115</v>
      </c>
      <c r="Q71" s="116" t="s">
        <v>116</v>
      </c>
      <c r="R71" s="116" t="s">
        <v>117</v>
      </c>
      <c r="S71" s="17"/>
      <c r="T71" s="17"/>
      <c r="U71" s="17"/>
      <c r="V71" s="17"/>
    </row>
    <row r="72" spans="1:28" ht="69.599999999999994" customHeight="1" x14ac:dyDescent="0.2">
      <c r="A72" s="17"/>
      <c r="B72" s="340">
        <v>3</v>
      </c>
      <c r="C72" s="341" t="s">
        <v>335</v>
      </c>
      <c r="D72" s="285" t="s">
        <v>336</v>
      </c>
      <c r="E72" s="286"/>
      <c r="F72" s="287"/>
      <c r="G72" s="344" t="s">
        <v>332</v>
      </c>
      <c r="H72" s="344"/>
      <c r="I72" s="344"/>
      <c r="J72" s="17"/>
      <c r="K72" s="296" t="str" cm="1">
        <f t="array" ref="K72">_xlfn.IFS(I51="","",I51&lt;0.25,"Non-compliant",AND(I51&gt;=0.25,I51&lt;0.58),"Compliant with issues",I51&gt;=0.58,"Fully compliant")</f>
        <v>Compliant with issues</v>
      </c>
      <c r="L72" s="97" t="str" cm="1">
        <f t="array" ref="L72">_xlfn.IFS(OR(P72=3,P72=2),"Fully Compliant",P72= 1,"Compliant with issues",P72 = 0,"Non-compliant",P72 = "","")</f>
        <v/>
      </c>
      <c r="M72" s="97" t="str" cm="1">
        <f t="array" ref="M72">_xlfn.IFS(OR(Q72=3,Q72=2),"Fully Compliant",Q72= 1,"Compliant with issues",Q72 = 0,"Non-compliant",Q72 = "","")</f>
        <v/>
      </c>
      <c r="N72" s="77" t="str" cm="1">
        <f t="array" ref="N72">_xlfn.IFS(OR(R72=3,R72=2),"Fully Compliant",R72= 1,"Compliant with issues",R72 = 0,"Non-compliant",R72 = "","")</f>
        <v/>
      </c>
      <c r="O72" s="17"/>
      <c r="P72" s="117" t="str" cm="1">
        <f t="array" ref="P72">_xlfn.IFS(AND(OR(EN_PF_Year3!D20="Year 1",EN_PF_Year3!J14 =1),J51&lt;&gt;""),EN_PF_Year3!L26,AND(OR(EN_PF_YearY!D20="Year 1",EN_PF_YearY!J14 =1), J51&lt;&gt;""),EN_PF_YearY!L26,AND(OR(EN_PF_YearZ!D20="Year 1",EN_PF_YearZ!J14 =1), J51&lt;&gt;""),EN_PF_YearZ!L26,AND(EN_PF_Year3!D20&lt;&gt;"Year 1",EN_PF_Year3!J14 &lt;&gt;1,EN_PF_YearY!D20&lt;&gt;"Year 1",EN_PF_YearY!J14 &lt;&gt;1,EN_PF_YearZ!D20&lt;&gt;"Year 1",EN_PF_YearZ!J14 &lt;&gt;1),"",AND(OR(EN_PF_Year3!D20="Year 1",EN_PF_Year3!J14 =1),J51=""),"",AND(OR(EN_PF_YearY!D20="Year 1",EN_PF_YearY!J14 =1), J51=""),"",AND(OR(EN_PF_YearZ!D20="Year 1",EN_PF_YearZ!J14 =1), J51=""),"")</f>
        <v/>
      </c>
      <c r="Q72" s="117" t="str" cm="1">
        <f t="array" ref="Q72">_xlfn.IFS(AND(OR(EN_PF_Year3!D20="Year 2",EN_PF_Year3!J14 =2),K51&lt;&gt;""),EN_PF_Year3!L26,AND(OR(EN_PF_YearY!D20="Year 2",EN_PF_YearY!J14 =2), K51&lt;&gt;""),EN_PF_YearY!L26,AND(OR(EN_PF_YearZ!D20="Year 2",EN_PF_YearZ!J14 =2), K51&lt;&gt;""),EN_PF_YearZ!L26,AND(EN_PF_Year3!D20&lt;&gt;"Year 2",EN_PF_Year3!J14 &lt;&gt;2,EN_PF_YearY!D20&lt;&gt;"Year 2",EN_PF_YearY!J14 &lt;&gt;2,EN_PF_YearZ!D20&lt;&gt;"Year 2",EN_PF_YearZ!J14 &lt;&gt;2),"",AND(OR(EN_PF_Year3!D20="Year 2",EN_PF_Year3!J14 =2),K51=""),"",AND(OR(EN_PF_YearY!D20="Year 2",EN_PF_YearY!J14 =2), K51=""),"",AND(OR(EN_PF_YearZ!D20="Year 2",EN_PF_YearZ!J14 =2), K51=""),"")</f>
        <v/>
      </c>
      <c r="R72" s="117" t="str" cm="1">
        <f t="array" ref="R72">_xlfn.IFS(AND(OR(EN_PF_Year3!D20="Year 3",EN_PF_Year3!J14 =3),L51&lt;&gt;""),EN_PF_Year3!L26,AND(OR(EN_PF_YearY!D20="Year 3",EN_PF_YearY!J14 =3), L51&lt;&gt;""),EN_PF_YearY!L26,AND(OR(EN_PF_YearZ!D20="Year 3",EN_PF_YearZ!J14 =3), L51&lt;&gt;""),EN_PF_YearZ!L26,AND(EN_PF_Year3!D20&lt;&gt;"Year 3",EN_PF_Year3!J14 &lt;&gt;3,EN_PF_YearY!D20&lt;&gt;"Year 3",EN_PF_YearY!J14 &lt;&gt;3,EN_PF_YearZ!D20&lt;&gt;"Year 3",EN_PF_YearZ!J14 &lt;&gt;3),"",AND(OR(EN_PF_Year3!D20="Year 3",EN_PF_Year3!J14 =3),L51=""),"",AND(OR(EN_PF_YearY!D20="Year 3",EN_PF_YearY!J14 =3), L51=""),"",AND(OR(EN_PF_YearZ!D20="Year 3",EN_PF_YearZ!J14 =3), L51=""),"")</f>
        <v/>
      </c>
      <c r="S72" s="17"/>
      <c r="T72" s="17"/>
      <c r="U72" s="17"/>
      <c r="V72" s="17"/>
    </row>
    <row r="73" spans="1:28" ht="69.599999999999994" customHeight="1" x14ac:dyDescent="0.2">
      <c r="A73" s="17"/>
      <c r="B73" s="340"/>
      <c r="C73" s="341"/>
      <c r="D73" s="285" t="s">
        <v>337</v>
      </c>
      <c r="E73" s="286"/>
      <c r="F73" s="287"/>
      <c r="G73" s="344" t="s">
        <v>334</v>
      </c>
      <c r="H73" s="300"/>
      <c r="I73" s="300"/>
      <c r="J73" s="17"/>
      <c r="K73" s="297"/>
      <c r="L73" s="97" t="str" cm="1">
        <f t="array" ref="L73">_xlfn.IFS(P73 = "","",AND(P73&gt;= 1,P73&lt;2),"Compliant with issues",AND(P73 &gt;= 0,P73&lt;1),"Non-compliant",P73&gt;=2,"Fully Compliant")</f>
        <v/>
      </c>
      <c r="M73" s="97" t="str" cm="1">
        <f t="array" ref="M73">_xlfn.IFS(Q73 = "","",AND(Q73&gt;= 1,Q73&lt;2),"Compliant with issues",AND(Q73 &gt;= 0,Q73&lt;1),"Non-compliant",Q73&gt;=2,"Fully Compliant")</f>
        <v/>
      </c>
      <c r="N73" s="77" t="str" cm="1">
        <f t="array" ref="N73">_xlfn.IFS(R73 = "","",AND(R73&gt;= 1,R73&lt;2),"Compliant with issues",AND(R73 &gt;= 0,R73&lt;1),"Non-compliant",R73&gt;=2,"Fully Compliant")</f>
        <v/>
      </c>
      <c r="O73" s="17"/>
      <c r="P73" s="117" t="str" cm="1">
        <f t="array" ref="P73">_xlfn.IFS(AND(OR(EN_PF_Year3!D20="Year 1",EN_PF_Year3!J14 =1), J51&lt;&gt;"",EN_PF_Year3!L27&lt;&gt;"",EN_PF_Year3!L28&lt;&gt;""),AVERAGE(EN_PF_Year3!L27:'EN_PF_Year3'!L28),AND(OR(EN_PF_YearY!D20="Year 1",EN_PF_YearY!J14 =1),J51&lt;&gt;"",EN_PF_YearY!L27&lt;&gt;"",EN_PF_YearY!L28&lt;&gt;""),AVERAGE(EN_PF_YearY!L27:'EN_PF_YearY'!L28),AND(OR(EN_PF_YearZ!D20="Year 1",EN_PF_YearZ!J14 =1),J51&lt;&gt;"",EN_PF_YearZ!L27&lt;&gt;"",EN_PF_YearZ!L28&lt;&gt;""),AVERAGE(EN_PF_YearZ!L27:'EN_PF_YearZ'!L28),AND(EN_PF_Year3!D20&lt;&gt;"Year 1",EN_PF_Year3!J14 &lt;&gt;1,EN_PF_YearY!D20&lt;&gt;"Year 1",EN_PF_YearY!J14 &lt;&gt;1,EN_PF_YearZ!D20&lt;&gt;"Year 1",EN_PF_YearZ!J14 &lt;&gt;1),"",AND(OR(EN_PF_Year3!D20="Year 1",EN_PF_Year3!J14 =1), J51=""),"",AND(OR(EN_PF_Year3!D20="Year 1",EN_PF_Year3!J14 =1), J51&lt;&gt;"",EN_PF_Year3!L27="",EN_PF_Year3!L28=""),0,AND(OR(EN_PF_YearY!D20="Year 1",EN_PF_YearY!J14 =1), J51&lt;&gt;"",EN_PF_YearY!L27="",EN_PF_YearY!L28=""),0,AND(OR(EN_PF_YearZ!D20="Year 1",EN_PF_YearZ!J14 =1), J51&lt;&gt;"",EN_PF_YearZ!L27="",EN_PF_YearZ!L28=""),0,AND(OR(EN_PF_YearY!D20="Year 1",EN_PF_YearY!J14 =1), J51=""),"",AND(OR(EN_PF_YearZ!D20="Year 1",EN_PF_YearZ!J14 =1), J51=""),"")</f>
        <v/>
      </c>
      <c r="Q73" s="117" t="str" cm="1">
        <f t="array" ref="Q73">_xlfn.IFS(AND(OR(EN_PF_Year3!D20="Year 2",EN_PF_Year3!J14 =2), K51&lt;&gt;"",EN_PF_Year3!L27&lt;&gt;"",EN_PF_Year3!L28&lt;&gt;""),AVERAGE(EN_PF_Year3!L27:'EN_PF_Year3'!L28),AND(OR(EN_PF_YearY!D20="Year 2",EN_PF_YearY!J14 =2),K51&lt;&gt;"",EN_PF_YearY!L27&lt;&gt;"",EN_PF_YearY!L28&lt;&gt;""),AVERAGE(EN_PF_YearY!L27:'EN_PF_YearY'!L28),AND(OR(EN_PF_YearZ!D20="Year 2",EN_PF_YearZ!J14 =2),K51&lt;&gt;"",EN_PF_YearZ!L27&lt;&gt;"",EN_PF_YearZ!L28&lt;&gt;""),AVERAGE(EN_PF_YearZ!L27:'EN_PF_YearZ'!L28),AND(EN_PF_Year3!D20&lt;&gt;"Year 2",EN_PF_Year3!J14 &lt;&gt;2,EN_PF_YearY!D20&lt;&gt;"Year 2",EN_PF_YearY!J14 &lt;&gt;2,EN_PF_YearZ!D20&lt;&gt;"Year 2",EN_PF_YearZ!J14 &lt;&gt;2),"",AND(OR(EN_PF_Year3!D20="Year 2",EN_PF_Year3!J14 =2), K51=""),"",AND(OR(EN_PF_Year3!D20="Year 2",EN_PF_Year3!J14 =2), K51&lt;&gt;"",EN_PF_Year3!L27="",EN_PF_Year3!L28=""),0,AND(OR(EN_PF_YearY!D20="Year 2",EN_PF_YearY!J14 =2), K51&lt;&gt;"",EN_PF_YearY!L27="",EN_PF_YearY!L28=""),0,AND(OR(EN_PF_YearZ!D20="Year 2",EN_PF_YearZ!J14 =2), K51&lt;&gt;"",EN_PF_YearZ!L27="",EN_PF_YearZ!L28=""),0,AND(OR(EN_PF_YearY!D20="Year 2",EN_PF_YearY!J14 =2), K51=""),"",AND(OR(EN_PF_YearZ!D20="Year 2",EN_PF_YearZ!J14 =2), K51=""),"")</f>
        <v/>
      </c>
      <c r="R73" s="117" t="str" cm="1">
        <f t="array" ref="R73">_xlfn.IFS(AND(OR(EN_PF_Year3!D20="Year 3",EN_PF_Year3!J14 =3), L51&lt;&gt;"",EN_PF_Year3!L27&lt;&gt;"",EN_PF_Year3!L28&lt;&gt;""),AVERAGE(EN_PF_Year3!L27:'EN_PF_Year3'!L28),AND(OR(EN_PF_YearY!D20="Year 3",EN_PF_YearY!J14 =3),L51&lt;&gt;"",EN_PF_YearY!L27&lt;&gt;"",EN_PF_YearY!L28&lt;&gt;""),AVERAGE(EN_PF_YearY!L27:'EN_PF_YearY'!L28),AND(OR(EN_PF_YearZ!D20="Year 3",EN_PF_YearZ!J14 =3),L51&lt;&gt;"",EN_PF_YearZ!L27&lt;&gt;"",EN_PF_YearZ!L28&lt;&gt;""),AVERAGE(EN_PF_YearZ!L27:'EN_PF_YearZ'!L28),AND(EN_PF_Year3!D20&lt;&gt;"Year 3",EN_PF_Year3!J14 &lt;&gt;3,EN_PF_YearY!D20&lt;&gt;"Year 3",EN_PF_YearY!J14 &lt;&gt;3,EN_PF_YearZ!D20&lt;&gt;"Year 3",EN_PF_YearZ!J14 &lt;&gt;3),"",AND(OR(EN_PF_Year3!D20="Year 3",EN_PF_Year3!J14 =2), L51=""),"",AND(OR(EN_PF_Year3!D20="Year 3",EN_PF_Year3!J14 =3), L51&lt;&gt;"",EN_PF_Year3!L27="",EN_PF_Year3!L28=""),0,AND(OR(EN_PF_YearY!D20="Year 3",EN_PF_YearY!J14 =3), L51&lt;&gt;"",EN_PF_YearY!L27="",EN_PF_YearY!L28=""),0,AND(OR(EN_PF_YearZ!D20="Year 3",EN_PF_YearZ!J14 =3), L51&lt;&gt;"",EN_PF_YearZ!L27="",EN_PF_YearZ!L28=""),0,AND(OR(EN_PF_YearY!D20="Year 3",EN_PF_YearY!J14 =3), L51=""),"",AND(OR(EN_PF_YearZ!D20="Year 3",EN_PF_YearZ!J14 =3), L51=""),"")</f>
        <v/>
      </c>
      <c r="S73" s="17"/>
      <c r="T73" s="17"/>
      <c r="U73" s="17"/>
      <c r="V73" s="17"/>
    </row>
    <row r="74" spans="1:28" ht="69.599999999999994" customHeight="1" x14ac:dyDescent="0.2">
      <c r="A74" s="17"/>
      <c r="B74" s="340"/>
      <c r="C74" s="341"/>
      <c r="D74" s="285" t="s">
        <v>338</v>
      </c>
      <c r="E74" s="286"/>
      <c r="F74" s="287"/>
      <c r="G74" s="344" t="s">
        <v>339</v>
      </c>
      <c r="H74" s="300"/>
      <c r="I74" s="300"/>
      <c r="J74" s="17"/>
      <c r="K74" s="297"/>
      <c r="L74" s="97" t="str" cm="1">
        <f t="array" ref="L74">_xlfn.IFS(OR(P74=3,P74=2),"Fully Compliant",P74= 1,"Compliant with issues",P74 = 0,"Non-compliant",P74 = "","")</f>
        <v/>
      </c>
      <c r="M74" s="47" t="str" cm="1">
        <f t="array" ref="M74">_xlfn.IFS(OR(Q74=3,Q74=2),"Fully Compliant",Q74= 1,"Compliant with issues",Q74 = 0,"Non-compliant",Q74 = "","")</f>
        <v/>
      </c>
      <c r="N74" s="77" t="str" cm="1">
        <f t="array" ref="N74">_xlfn.IFS(OR(R74=3,R74=2),"Fully Compliant",R74= 1,"Compliant with issues",R74 = 0,"Non-compliant",R74 = "","")</f>
        <v/>
      </c>
      <c r="O74" s="17"/>
      <c r="P74" s="117" t="str" cm="1">
        <f t="array" ref="P74">_xlfn.IFS(AND(OR(EN_PF_Year3!D20="Year 1",EN_PF_Year3!J14 =1),J51&lt;&gt;""),EN_PF_Year3!L29,AND(OR(EN_PF_YearY!D20="Year 1",EN_PF_YearY!J14 =1), J51&lt;&gt;""),EN_PF_YearY!L29,AND(OR(EN_PF_YearZ!D20="Year 1",EN_PF_YearZ!J14 =1), J51&lt;&gt;""),EN_PF_YearZ!L29,AND(EN_PF_Year3!D20&lt;&gt;"Year 1",EN_PF_Year3!J14 &lt;&gt;1,EN_PF_YearY!D20&lt;&gt;"Year 1",EN_PF_YearY!J14 &lt;&gt;1,EN_PF_YearZ!D20&lt;&gt;"Year 1",EN_PF_YearZ!J14 &lt;&gt;1),"",AND(OR(EN_PF_Year3!D20="Year 1",EN_PF_Year3!J14 =1),J51=""),"",AND(OR(EN_PF_YearY!D20="Year 1",EN_PF_YearY!J14 =1), J51=""),"",AND(OR(EN_PF_YearZ!D20="Year 1",EN_PF_YearZ!J14 =1), J51=""),"")</f>
        <v/>
      </c>
      <c r="Q74" s="117" t="str" cm="1">
        <f t="array" ref="Q74">_xlfn.IFS(AND(OR(EN_PF_Year3!D20="Year 2",EN_PF_Year3!J14 =2),K51&lt;&gt;""),EN_PF_Year3!L29,AND(OR(EN_PF_YearY!D20="Year 2",EN_PF_YearY!J14 =2), K51&lt;&gt;""),EN_PF_YearY!L29,AND(OR(EN_PF_YearZ!D20="Year 2",EN_PF_YearZ!J14 =2), K51&lt;&gt;""),EN_PF_YearZ!L29,AND(EN_PF_Year3!D20&lt;&gt;"Year 2",EN_PF_Year3!J14 &lt;&gt;2,EN_PF_YearY!D20&lt;&gt;"Year 2",EN_PF_YearY!J14 &lt;&gt;2,EN_PF_YearZ!D20&lt;&gt;"Year 2",EN_PF_YearZ!J14 &lt;&gt;2),"",AND(OR(EN_PF_Year3!D20="Year 2",EN_PF_Year3!J14 =2),K51=""),"",AND(OR(EN_PF_YearY!D20="Year 2",EN_PF_YearY!J14 =2), K51=""),"",AND(OR(EN_PF_YearZ!D20="Year 2",EN_PF_YearZ!J14 =2), K51=""),"")</f>
        <v/>
      </c>
      <c r="R74" s="117" t="str" cm="1">
        <f t="array" ref="R74">_xlfn.IFS(AND(OR(EN_PF_Year3!D20="Year 3",EN_PF_Year3!J14 =3),L51&lt;&gt;""),EN_PF_Year3!L29,AND(OR(EN_PF_YearY!D20="Year 3",EN_PF_YearY!J14 =3), L51&lt;&gt;""),EN_PF_YearY!L29,AND(OR(EN_PF_YearZ!D20="Year 3",EN_PF_YearZ!J14 =3), L51&lt;&gt;""),EN_PF_YearZ!L29,AND(EN_PF_Year3!D20&lt;&gt;"Year 3",EN_PF_Year3!J14 &lt;&gt;3,EN_PF_YearY!D20&lt;&gt;"Year 3",EN_PF_YearY!J14 &lt;&gt;3,EN_PF_YearZ!D20&lt;&gt;"Year 3",EN_PF_YearZ!J14 &lt;&gt;3),"",AND(OR(EN_PF_Year3!D20="Year 3",EN_PF_Year3!J14 =3),L51=""),"",AND(OR(EN_PF_YearY!D20="Year 3",EN_PF_YearY!J14 =3), L51=""),"",AND(OR(EN_PF_YearZ!D20="Year 3",EN_PF_YearZ!J14 =3), L51=""),"")</f>
        <v/>
      </c>
      <c r="S74" s="17"/>
      <c r="T74" s="17"/>
      <c r="U74" s="17"/>
      <c r="V74" s="17"/>
    </row>
    <row r="75" spans="1:28" ht="86.45" customHeight="1" x14ac:dyDescent="0.2">
      <c r="A75" s="17"/>
      <c r="B75" s="340"/>
      <c r="C75" s="341"/>
      <c r="D75" s="285" t="s">
        <v>330</v>
      </c>
      <c r="E75" s="286"/>
      <c r="F75" s="287"/>
      <c r="G75" s="344" t="s">
        <v>340</v>
      </c>
      <c r="H75" s="300"/>
      <c r="I75" s="300"/>
      <c r="J75" s="17"/>
      <c r="K75" s="297"/>
      <c r="L75" s="97" t="str" cm="1">
        <f t="array" ref="L75">_xlfn.IFS(OR(P75=3,P75=2),"Fully Compliant",P75= 1,"Compliant with issues",P75 = 0,"Non-compliant",P75 = "","")</f>
        <v/>
      </c>
      <c r="M75" s="97" t="str" cm="1">
        <f t="array" ref="M75">_xlfn.IFS(OR(Q75=3,Q75=2),"Fully Compliant",Q75= 1,"Compliant with issues",Q75 = 0,"Non-compliant",Q75 = "","")</f>
        <v/>
      </c>
      <c r="N75" s="77" t="str" cm="1">
        <f t="array" ref="N75">_xlfn.IFS(OR(R75=3,R75=2),"Fully Compliant",R75= 1,"Compliant with issues",R75 = 0,"Non-compliant",R75 = "","")</f>
        <v/>
      </c>
      <c r="O75" s="17"/>
      <c r="P75" s="117" t="str" cm="1">
        <f t="array" ref="P75">_xlfn.IFS(AND(OR(EN_PF_Year3!D20="Year 1",EN_PF_Year3!J14 =1),J51&lt;&gt;""),EN_PF_Year3!L30,AND(OR(EN_PF_YearY!D20="Year 1",EN_PF_YearY!J14 =1), J51&lt;&gt;""),EN_PF_YearY!L30,AND(OR(EN_PF_YearZ!D20="Year 1",EN_PF_YearZ!J14 =1), J51&lt;&gt;""),EN_PF_YearZ!L30,AND(EN_PF_Year3!D20&lt;&gt;"Year 1",EN_PF_Year3!J14 &lt;&gt;1,EN_PF_YearY!D20&lt;&gt;"Year 1",EN_PF_YearY!J14 &lt;&gt;1,EN_PF_YearZ!D20&lt;&gt;"Year 1",EN_PF_YearZ!J14 &lt;&gt;1),"",AND(OR(EN_PF_Year3!D20="Year 1",EN_PF_Year3!J14 =1),J51=""),"",AND(OR(EN_PF_YearY!D20="Year 1",EN_PF_YearY!J14 =1), J51=""),"",AND(OR(EN_PF_YearZ!D20="Year 1",EN_PF_YearZ!J14 =1), J51=""),"")</f>
        <v/>
      </c>
      <c r="Q75" s="117" t="str" cm="1">
        <f t="array" ref="Q75">_xlfn.IFS(AND(OR(EN_PF_Year3!D20="Year 2",EN_PF_Year3!J14 =2),K51&lt;&gt;""),EN_PF_Year3!L30,AND(OR(EN_PF_YearY!D20="Year 2",EN_PF_YearY!J14 =2), K51&lt;&gt;""),EN_PF_YearY!L30,AND(OR(EN_PF_YearZ!D20="Year 2",EN_PF_YearZ!J14 =2), K51&lt;&gt;""),EN_PF_YearZ!L30,AND(EN_PF_Year3!D20&lt;&gt;"Year 2",EN_PF_Year3!J14 &lt;&gt;2,EN_PF_YearY!D20&lt;&gt;"Year 2",EN_PF_YearY!J14 &lt;&gt;2,EN_PF_YearZ!D20&lt;&gt;"Year 2",EN_PF_YearZ!J14 &lt;&gt;2),"",AND(OR(EN_PF_Year3!D20="Year 2",EN_PF_Year3!J14 =2),K51=""),"",AND(OR(EN_PF_YearY!D20="Year 2",EN_PF_YearY!J14 =2), K51=""),"",AND(OR(EN_PF_YearZ!D20="Year 2",EN_PF_YearZ!J14 =2), K51=""),"")</f>
        <v/>
      </c>
      <c r="R75" s="117" t="str" cm="1">
        <f t="array" ref="R75">_xlfn.IFS(AND(OR(EN_PF_Year3!D20="Year 3",EN_PF_Year3!J14 =3),L51&lt;&gt;""),EN_PF_Year3!L30,AND(OR(EN_PF_YearY!D20="Year 3",EN_PF_YearY!J14 =3), L51&lt;&gt;""),EN_PF_YearY!L30,AND(OR(EN_PF_YearZ!D20="Year 3",EN_PF_YearZ!J14 =3), L51&lt;&gt;""),EN_PF_YearZ!L30,AND(EN_PF_Year3!D20&lt;&gt;"Year 3",EN_PF_Year3!J14 &lt;&gt;3,EN_PF_YearY!D20&lt;&gt;"Year 3",EN_PF_YearY!J14 &lt;&gt;3,EN_PF_YearZ!D20&lt;&gt;"Year 3",EN_PF_YearZ!J14 &lt;&gt;3),"",AND(OR(EN_PF_Year3!D20="Year 3",EN_PF_Year3!J14 =3),L51=""),"",AND(OR(EN_PF_YearY!D20="Year 3",EN_PF_YearY!J14 =3), L51=""),"",AND(OR(EN_PF_YearZ!D20="Year 3",EN_PF_YearZ!J14 =3), L51=""),"")</f>
        <v/>
      </c>
      <c r="S75" s="17"/>
      <c r="T75" s="17"/>
      <c r="U75" s="17"/>
      <c r="V75" s="17"/>
    </row>
    <row r="76" spans="1:28" ht="69.599999999999994" customHeight="1" x14ac:dyDescent="0.2">
      <c r="A76" s="17"/>
      <c r="B76" s="340"/>
      <c r="C76" s="341"/>
      <c r="D76" s="285" t="s">
        <v>346</v>
      </c>
      <c r="E76" s="286"/>
      <c r="F76" s="287"/>
      <c r="G76" s="344" t="s">
        <v>341</v>
      </c>
      <c r="H76" s="300"/>
      <c r="I76" s="300"/>
      <c r="J76" s="17"/>
      <c r="K76" s="297"/>
      <c r="L76" s="97" t="str" cm="1">
        <f t="array" ref="L76">_xlfn.IFS(OR(P76=3,P76=2),"Fully Compliant",P76= 1,"Compliant with issues",P76 = 0,"Non-compliant",P76 = "","")</f>
        <v/>
      </c>
      <c r="M76" s="97" t="str" cm="1">
        <f t="array" ref="M76">_xlfn.IFS(OR(Q76=3,Q76=2),"Fully Compliant",Q76= 1,"Compliant with issues",Q76 = 0,"Non-compliant",Q76 = "","")</f>
        <v/>
      </c>
      <c r="N76" s="77" t="str" cm="1">
        <f t="array" ref="N76">_xlfn.IFS(OR(R76=3,R76=2),"Fully Compliant",R76= 1,"Compliant with issues",R76 = 0,"Non-compliant",R76 = "","")</f>
        <v/>
      </c>
      <c r="O76" s="17"/>
      <c r="P76" s="117" t="str" cm="1">
        <f t="array" ref="P76">_xlfn.IFS(AND(OR(EN_PF_Year3!D20="Year 1",EN_PF_Year3!J14 =1),J51&lt;&gt;""),EN_PF_Year3!L31,AND(OR(EN_PF_YearY!D20="Year 1",EN_PF_YearY!J14 =1), J51&lt;&gt;""),EN_PF_YearY!L31,AND(OR(EN_PF_YearZ!D20="Year 1",EN_PF_YearZ!J14 =1), J51&lt;&gt;""),EN_PF_YearZ!L31,AND(EN_PF_Year3!D20&lt;&gt;"Year 1",EN_PF_Year3!J14 &lt;&gt;1,EN_PF_YearY!D20&lt;&gt;"Year 1",EN_PF_YearY!J14 &lt;&gt;1,EN_PF_YearZ!D20&lt;&gt;"Year 1",EN_PF_YearZ!J14 &lt;&gt;1),"",AND(OR(EN_PF_Year3!D20="Year 1",EN_PF_Year3!J14 =1),J51=""),"",AND(OR(EN_PF_YearY!D20="Year 1",EN_PF_YearY!J14 =1), J51=""),"",AND(OR(EN_PF_YearZ!D20="Year 1",EN_PF_YearZ!J14 =1), J51=""),"")</f>
        <v/>
      </c>
      <c r="Q76" s="117" t="str" cm="1">
        <f t="array" ref="Q76">_xlfn.IFS(AND(OR(EN_PF_Year3!D20="Year 2",EN_PF_Year3!J14 =2),K51&lt;&gt;""),EN_PF_Year3!L31,AND(OR(EN_PF_YearY!D20="Year 2",EN_PF_YearY!J14 =2), K51&lt;&gt;""),EN_PF_YearY!L31,AND(OR(EN_PF_YearZ!D20="Year 2",EN_PF_YearZ!J14 =2), K51&lt;&gt;""),EN_PF_YearZ!L31,AND(EN_PF_Year3!D20&lt;&gt;"Year 2",EN_PF_Year3!J14 &lt;&gt;2,EN_PF_YearY!D20&lt;&gt;"Year 2",EN_PF_YearY!J14 &lt;&gt;2,EN_PF_YearZ!D20&lt;&gt;"Year 2",EN_PF_YearZ!J14 &lt;&gt;2),"",AND(OR(EN_PF_Year3!D20="Year 2",EN_PF_Year3!J14 =2),K51=""),"",AND(OR(EN_PF_YearY!D20="Year 2",EN_PF_YearY!J14 =2), K51=""),"",AND(OR(EN_PF_YearZ!D20="Year 2",EN_PF_YearZ!J14 =2), K51=""),"")</f>
        <v/>
      </c>
      <c r="R76" s="117" t="str" cm="1">
        <f t="array" ref="R76">_xlfn.IFS(AND(OR(EN_PF_Year3!D20="Year 3",EN_PF_Year3!J14 =3),L51&lt;&gt;""),EN_PF_Year3!L31,AND(OR(EN_PF_YearY!D20="Year 3",EN_PF_YearY!J14 =3), L51&lt;&gt;""),EN_PF_YearY!L31,AND(OR(EN_PF_YearZ!D20="Year 3",EN_PF_YearZ!J14 =3), L51&lt;&gt;""),EN_PF_YearZ!L31,AND(EN_PF_Year3!D20&lt;&gt;"Year 3",EN_PF_Year3!J14 &lt;&gt;3,EN_PF_YearY!D20&lt;&gt;"Year 3",EN_PF_YearY!J14 &lt;&gt;3,EN_PF_YearZ!D20&lt;&gt;"Year 3",EN_PF_YearZ!J14 &lt;&gt;3),"",AND(OR(EN_PF_Year3!D20="Year 3",EN_PF_Year3!J14 =3),L51=""),"",AND(OR(EN_PF_YearY!D20="Year 3",EN_PF_YearY!J14 =3), L51=""),"",AND(OR(EN_PF_YearZ!D20="Year 3",EN_PF_YearZ!J14 =3), L51=""),"")</f>
        <v/>
      </c>
      <c r="S76" s="17"/>
      <c r="T76" s="17"/>
      <c r="U76" s="17"/>
      <c r="V76" s="17"/>
    </row>
    <row r="77" spans="1:28" ht="69.599999999999994" customHeight="1" x14ac:dyDescent="0.2">
      <c r="A77" s="17"/>
      <c r="B77" s="340"/>
      <c r="C77" s="341"/>
      <c r="D77" s="285" t="s">
        <v>347</v>
      </c>
      <c r="E77" s="286"/>
      <c r="F77" s="287"/>
      <c r="G77" s="299" t="s">
        <v>342</v>
      </c>
      <c r="H77" s="300"/>
      <c r="I77" s="300"/>
      <c r="J77" s="17"/>
      <c r="K77" s="298"/>
      <c r="L77" s="97" t="str" cm="1">
        <f t="array" ref="L77">_xlfn.IFS(OR(P77=3,P77=2),"Fully Compliant",P77= 1,"Compliant with issues",P77 = 0,"Non-compliant",P77 = "","")</f>
        <v/>
      </c>
      <c r="M77" s="97" t="str" cm="1">
        <f t="array" ref="M77">_xlfn.IFS(OR(Q77=3,Q77=2),"Fully Compliant",Q77= 1,"Compliant with issues",Q77 = 0,"Non-compliant",Q77 = "","")</f>
        <v/>
      </c>
      <c r="N77" s="77" t="str" cm="1">
        <f t="array" ref="N77">_xlfn.IFS(OR(R77=3,R77=2),"Fully Compliant",R77= 1,"Compliant with issues",R77 = 0,"Non-compliant",R77 = "","")</f>
        <v/>
      </c>
      <c r="O77" s="17"/>
      <c r="P77" s="117" t="str" cm="1">
        <f t="array" ref="P77">_xlfn.IFS(AND(OR(EN_PF_Year3!D20="Year 1",EN_PF_Year3!J14 =1),J51&lt;&gt;""),EN_PF_Year3!L32,AND(OR(EN_PF_YearY!D20="Year 1",EN_PF_YearY!J14 =1), J51&lt;&gt;""),EN_PF_YearY!L32,AND(OR(EN_PF_YearZ!D20="Year 1",EN_PF_YearZ!J14 =1), J51&lt;&gt;""),EN_PF_YearZ!L32,AND(EN_PF_Year3!D20&lt;&gt;"Year 1",EN_PF_Year3!J14 &lt;&gt;1,EN_PF_YearY!D20&lt;&gt;"Year 1",EN_PF_YearY!J14 &lt;&gt;1,EN_PF_YearZ!D20&lt;&gt;"Year 1",EN_PF_YearZ!J14 &lt;&gt;1),"",AND(OR(EN_PF_Year3!D20="Year 1",EN_PF_Year3!J14 =1),J51=""),"",AND(OR(EN_PF_YearY!D20="Year 1",EN_PF_YearY!J14 =1), J51=""),"",AND(OR(EN_PF_YearZ!D20="Year 1",EN_PF_YearZ!J14 =1), J51=""),"")</f>
        <v/>
      </c>
      <c r="Q77" s="117" t="str" cm="1">
        <f t="array" ref="Q77">_xlfn.IFS(AND(OR(EN_PF_Year3!D20="Year 2",EN_PF_Year3!J14 =2),K51&lt;&gt;""),EN_PF_Year3!L32,AND(OR(EN_PF_YearY!D20="Year 2",EN_PF_YearY!J14 =2), K51&lt;&gt;""),EN_PF_YearY!L32,AND(OR(EN_PF_YearZ!D20="Year 2",EN_PF_YearZ!J14 =2), K51&lt;&gt;""),EN_PF_YearZ!L32,AND(EN_PF_Year3!D20&lt;&gt;"Year 2",EN_PF_Year3!J14 &lt;&gt;2,EN_PF_YearY!D20&lt;&gt;"Year 2",EN_PF_YearY!J14 &lt;&gt;2,EN_PF_YearZ!D20&lt;&gt;"Year 2",EN_PF_YearZ!J14 &lt;&gt;2),"",AND(OR(EN_PF_Year3!D20="Year 2",EN_PF_Year3!J14 =2),K51=""),"",AND(OR(EN_PF_YearY!D20="Year 2",EN_PF_YearY!J14 =2), K51=""),"",AND(OR(EN_PF_YearZ!D20="Year 2",EN_PF_YearZ!J14 =2), K51=""),"")</f>
        <v/>
      </c>
      <c r="R77" s="117" t="str" cm="1">
        <f t="array" ref="R77">_xlfn.IFS(AND(OR(EN_PF_Year3!D20="Year 3",EN_PF_Year3!J14 =3),L51&lt;&gt;""),EN_PF_Year3!L32,AND(OR(EN_PF_YearY!D20="Year 3",EN_PF_YearY!J14 =3), L51&lt;&gt;""),EN_PF_YearY!L32,AND(OR(EN_PF_YearZ!D20="Year 3",EN_PF_YearZ!J14 =3), L51&lt;&gt;""),EN_PF_YearZ!L32,AND(EN_PF_Year3!D20&lt;&gt;"Year 3",EN_PF_Year3!J14 &lt;&gt;3,EN_PF_YearY!D20&lt;&gt;"Year 3",EN_PF_YearY!J14 &lt;&gt;3,EN_PF_YearZ!D20&lt;&gt;"Year 3",EN_PF_YearZ!J14 &lt;&gt;3),"",AND(OR(EN_PF_Year3!D20="Year 3",EN_PF_Year3!J14 =3),L51=""),"",AND(OR(EN_PF_YearY!D20="Year 3",EN_PF_YearY!J14 =3), L51=""),"",AND(OR(EN_PF_YearZ!D20="Year 3",EN_PF_YearZ!J14 =3), L51=""),"")</f>
        <v/>
      </c>
      <c r="S77" s="17"/>
      <c r="T77" s="17"/>
      <c r="U77" s="17"/>
      <c r="V77" s="17"/>
    </row>
    <row r="78" spans="1:28" ht="69.599999999999994" customHeight="1" x14ac:dyDescent="0.2">
      <c r="A78" s="17"/>
      <c r="B78" s="340">
        <v>4</v>
      </c>
      <c r="C78" s="341" t="s">
        <v>351</v>
      </c>
      <c r="D78" s="285" t="s">
        <v>348</v>
      </c>
      <c r="E78" s="286"/>
      <c r="F78" s="287"/>
      <c r="G78" s="299" t="s">
        <v>497</v>
      </c>
      <c r="H78" s="300"/>
      <c r="I78" s="300"/>
      <c r="J78" s="17"/>
      <c r="K78" s="296" t="str" cm="1">
        <f t="array" ref="K78">_xlfn.IFS(I55="","", I55&lt;0.25,"Non-compliant",AND(I55&gt;=0.25,I55&lt;0.58),"Compliant with issues",I55&gt;=0.58,"Fully compliant")</f>
        <v>Compliant with issues</v>
      </c>
      <c r="L78" s="97" t="str" cm="1">
        <f t="array" ref="L78">_xlfn.IFS(OR(P78=3,P78=2),"Fully Compliant",P78= 1,"Compliant with issues",P78 = 0,"Non-compliant",P78 = "","")</f>
        <v/>
      </c>
      <c r="M78" s="97" t="str" cm="1">
        <f t="array" ref="M78">_xlfn.IFS(OR(Q78=3,Q78=2),"Fully Compliant",Q78= 1,"Compliant with issues",Q78 = 0,"Non-compliant",Q78 = "","")</f>
        <v/>
      </c>
      <c r="N78" s="77" t="str" cm="1">
        <f t="array" ref="N78">_xlfn.IFS(OR(R78=3,R78=2),"Fully Compliant",R78= 1,"Compliant with issues",R78 = 0,"Non-compliant",R78 = "","")</f>
        <v/>
      </c>
      <c r="O78" s="17"/>
      <c r="P78" s="117" t="str" cm="1">
        <f t="array" ref="P78">_xlfn.IFS(AND(OR(EN_PF_Year3!D20="Year 1",EN_PF_Year3!J14 =1),J55&lt;&gt;""),EN_PF_Year3!L34,AND(OR(EN_PF_YearY!D20="Year 1",EN_PF_YearY!J14 =1), J55&lt;&gt;""),EN_PF_YearY!L34,AND(OR(EN_PF_YearZ!D20="Year 1",EN_PF_YearZ!J14 =1), J55&lt;&gt;""),EN_PF_YearZ!L34,AND(EN_PF_Year3!D20&lt;&gt;"Year 1",EN_PF_Year3!J14 &lt;&gt;1,EN_PF_YearY!D20&lt;&gt;"Year 1",EN_PF_YearY!J14 &lt;&gt;1,EN_PF_YearZ!D20&lt;&gt;"Year 1",EN_PF_YearZ!J14 &lt;&gt;1),"",AND(OR(EN_PF_Year3!D20="Year 1",EN_PF_Year3!J14 =1),J55=""),"",AND(OR(EN_PF_YearY!D20="Year 1",EN_PF_YearY!J14 =1), J55=""),"",AND(OR(EN_PF_YearZ!D20="Year 1",EN_PF_YearZ!J14 =1), J55=""),"")</f>
        <v/>
      </c>
      <c r="Q78" s="117" t="str" cm="1">
        <f t="array" ref="Q78">_xlfn.IFS(AND(OR(EN_PF_Year3!D20="Year 2",EN_PF_Year3!J14 =2),K55&lt;&gt;""),EN_PF_Year3!L34,AND(OR(EN_PF_YearY!D20="Year 2",EN_PF_YearY!J14 =2), K55&lt;&gt;""),EN_PF_YearY!L34,AND(OR(EN_PF_YearZ!D20="Year 2",EN_PF_YearZ!J14 =2), K55&lt;&gt;""),EN_PF_YearZ!L34,AND(EN_PF_Year3!D20&lt;&gt;"Year 2",EN_PF_Year3!J14 &lt;&gt;2,EN_PF_YearY!D20&lt;&gt;"Year 2",EN_PF_YearY!J14 &lt;&gt;2,EN_PF_YearZ!D20&lt;&gt;"Year 2",EN_PF_YearZ!J14 &lt;&gt;2),"",AND(OR(EN_PF_Year3!D20="Year 2",EN_PF_Year3!J14 =2),K55=""),"",AND(OR(EN_PF_YearY!D20="Year 2",EN_PF_YearY!J14 =2), K55=""),"",AND(OR(EN_PF_YearZ!D20="Year 2",EN_PF_YearZ!J14 =2), K55=""),"")</f>
        <v/>
      </c>
      <c r="R78" s="117" t="str" cm="1">
        <f t="array" ref="R78">_xlfn.IFS(AND(OR(EN_PF_Year3!D20="Year 3",EN_PF_Year3!J14 =3),L55&lt;&gt;""),EN_PF_Year3!L34,AND(OR(EN_PF_YearY!D20="Year 3",EN_PF_YearY!J14 =3), L55&lt;&gt;""),EN_PF_YearY!L34,AND(OR(EN_PF_YearZ!D20="Year 3",EN_PF_YearZ!J14 =3), L55&lt;&gt;""),EN_PF_YearZ!L34,AND(EN_PF_Year3!D20&lt;&gt;"Year 3",EN_PF_Year3!J14 &lt;&gt;3,EN_PF_YearY!D20&lt;&gt;"Year 3",EN_PF_YearY!J14 &lt;&gt;3,EN_PF_YearZ!D20&lt;&gt;"Year 3",EN_PF_YearZ!J14 &lt;&gt;3),"",AND(OR(EN_PF_Year3!D20="Year 3",EN_PF_Year3!J14 =3),L55=""),"",AND(OR(EN_PF_YearY!D20="Year 3",EN_PF_YearY!J14 =3), L55=""),"",AND(OR(EN_PF_YearZ!D20="Year 3",EN_PF_YearZ!J14 =3), L55=""),"")</f>
        <v/>
      </c>
      <c r="S78" s="17"/>
      <c r="T78" s="17"/>
      <c r="U78" s="17"/>
      <c r="V78" s="17"/>
    </row>
    <row r="79" spans="1:28" ht="69.599999999999994" customHeight="1" x14ac:dyDescent="0.2">
      <c r="A79" s="17"/>
      <c r="B79" s="340"/>
      <c r="C79" s="341"/>
      <c r="D79" s="285" t="s">
        <v>349</v>
      </c>
      <c r="E79" s="286"/>
      <c r="F79" s="287"/>
      <c r="G79" s="299" t="s">
        <v>343</v>
      </c>
      <c r="H79" s="300"/>
      <c r="I79" s="300"/>
      <c r="J79" s="17"/>
      <c r="K79" s="297"/>
      <c r="L79" s="97" t="str" cm="1">
        <f t="array" ref="L79">_xlfn.IFS(OR(P79=3,P79=2),"Fully Compliant",P79= 1,"Compliant with issues",P79 = 0,"Non-compliant",P79 = "","")</f>
        <v/>
      </c>
      <c r="M79" s="97" t="str" cm="1">
        <f t="array" ref="M79">_xlfn.IFS(OR(Q79=3,Q79=2),"Fully Compliant",Q79= 1,"Compliant with issues",Q79 = 0,"Non-compliant",Q79 = "","")</f>
        <v/>
      </c>
      <c r="N79" s="77" t="str" cm="1">
        <f t="array" ref="N79">_xlfn.IFS(OR(R79=3,R79=2),"Fully Compliant",R79= 1,"Compliant with issues",R79 = 0,"Non-compliant",R79 = "","")</f>
        <v/>
      </c>
      <c r="O79" s="17"/>
      <c r="P79" s="117" t="str" cm="1">
        <f t="array" ref="P79">_xlfn.IFS(AND(OR(EN_PF_Year3!D20="Year 1",EN_PF_Year3!J14 =1),J55&lt;&gt;""),EN_PF_Year3!L34,AND(OR(EN_PF_YearY!D20="Year 1",EN_PF_YearY!J14 =1), J55&lt;&gt;""),EN_PF_YearY!L34,AND(OR(EN_PF_YearZ!D20="Year 1",EN_PF_YearZ!J14 =1), J55&lt;&gt;""),EN_PF_YearZ!L34,AND(EN_PF_Year3!D20&lt;&gt;"Year 1",EN_PF_Year3!J14 &lt;&gt;1,EN_PF_YearY!D20&lt;&gt;"Year 1",EN_PF_YearY!J14 &lt;&gt;1,EN_PF_YearZ!D20&lt;&gt;"Year 1",EN_PF_YearZ!J14 &lt;&gt;1),"",AND(OR(EN_PF_Year3!D20="Year 1",EN_PF_Year3!J14 =1),J46=""),"",AND(OR(EN_PF_YearY!D20="Year 1",EN_PF_YearY!J14 =1), J55=""),"",AND(OR(EN_PF_YearZ!D20="Year 1",EN_PF_YearZ!J14 =1), J55=""),"")</f>
        <v/>
      </c>
      <c r="Q79" s="117" t="str" cm="1">
        <f t="array" ref="Q79">_xlfn.IFS(AND(OR(EN_PF_Year3!D20="Year 2",EN_PF_Year3!J14 =2),K55&lt;&gt;""),EN_PF_Year3!L34,AND(OR(EN_PF_YearY!D20="Year 2",EN_PF_YearY!J14 =2), K55&lt;&gt;""),EN_PF_YearY!L34,AND(OR(EN_PF_YearZ!D20="Year 2",EN_PF_YearZ!J14 =2), K55&lt;&gt;""),EN_PF_YearZ!L34,AND(EN_PF_Year3!D20&lt;&gt;"Year 2",EN_PF_Year3!J14 &lt;&gt;2,EN_PF_YearY!D20&lt;&gt;"Year 2",EN_PF_YearY!J14 &lt;&gt;2,EN_PF_YearZ!D20&lt;&gt;"Year 2",EN_PF_YearZ!J14 &lt;&gt;2),"",AND(OR(EN_PF_Year3!D20="Year 2",EN_PF_Year3!J14 =2),K46=""),"",AND(OR(EN_PF_YearY!D20="Year 2",EN_PF_YearY!J14 =2), K55=""),"",AND(OR(EN_PF_YearZ!D20="Year 2",EN_PF_YearZ!J14 =2), K55=""),"")</f>
        <v/>
      </c>
      <c r="R79" s="117" t="str" cm="1">
        <f t="array" ref="R79">_xlfn.IFS(AND(OR(EN_PF_Year3!D20="Year 3",EN_PF_Year3!J14 =3),L55&lt;&gt;""),EN_PF_Year3!L34,AND(OR(EN_PF_YearY!D20="Year 3",EN_PF_YearY!J14 =3), L55&lt;&gt;""),EN_PF_YearY!L34,AND(OR(EN_PF_YearZ!D20="Year 3",EN_PF_YearZ!J14 =3), L55&lt;&gt;""),EN_PF_YearZ!L34,AND(EN_PF_Year3!D20&lt;&gt;"Year 3",EN_PF_Year3!J14 &lt;&gt;3,EN_PF_YearY!D20&lt;&gt;"Year 3",EN_PF_YearY!J14 &lt;&gt;3,EN_PF_YearZ!D20&lt;&gt;"Year 3",EN_PF_YearZ!J14 &lt;&gt;3),"",AND(OR(EN_PF_Year3!D20="Year 3",EN_PF_Year3!J14 =3),L46=""),"",AND(OR(EN_PF_YearY!D20="Year 3",EN_PF_YearY!J14 =3), L55=""),"",AND(OR(EN_PF_YearZ!D20="Year 3",EN_PF_YearZ!J14 =3), L55=""),"")</f>
        <v/>
      </c>
      <c r="S79" s="17"/>
      <c r="T79" s="17"/>
      <c r="U79" s="17"/>
      <c r="V79" s="17"/>
    </row>
    <row r="80" spans="1:28" ht="69.599999999999994" customHeight="1" x14ac:dyDescent="0.2">
      <c r="A80" s="17"/>
      <c r="B80" s="340"/>
      <c r="C80" s="341"/>
      <c r="D80" s="285" t="s">
        <v>350</v>
      </c>
      <c r="E80" s="286"/>
      <c r="F80" s="287"/>
      <c r="G80" s="299" t="s">
        <v>344</v>
      </c>
      <c r="H80" s="300"/>
      <c r="I80" s="300"/>
      <c r="J80" s="17"/>
      <c r="K80" s="298"/>
      <c r="L80" s="97" t="str" cm="1">
        <f t="array" ref="L80">_xlfn.IFS(OR(P80=3,P80=2),"Fully Compliant",P80= 1,"Compliant with issues",P80 = 0,"Non-compliant",P80 = "","")</f>
        <v/>
      </c>
      <c r="M80" s="97" t="str" cm="1">
        <f t="array" ref="M80">_xlfn.IFS(OR(Q80=3,Q80=2),"Fully Compliant",Q80= 1,"Compliant with issues",Q80 = 0,"Non-compliant",Q80 = "","")</f>
        <v/>
      </c>
      <c r="N80" s="77" t="str" cm="1">
        <f t="array" ref="N80">_xlfn.IFS(OR(R80=3,R80=2),"Fully Compliant",R80= 1,"Compliant with issues",R80 = 0,"Non-compliant",R80 = "","")</f>
        <v/>
      </c>
      <c r="O80" s="17"/>
      <c r="P80" s="117" t="str" cm="1">
        <f t="array" ref="P80">_xlfn.IFS(AND(OR(EN_PF_Year3!D20="Year 1",EN_PF_Year3!J14 =1),J55&lt;&gt;""),EN_PF_Year3!L36,AND(OR(EN_PF_YearY!D20="Year 1",EN_PF_YearY!J14 =1), J55&lt;&gt;""),EN_PF_YearY!L36,AND(OR(EN_PF_YearZ!D20="Year 1",EN_PF_YearZ!J14 =1), J55&lt;&gt;""),EN_PF_YearZ!L36,AND(EN_PF_Year3!D20&lt;&gt;"Year 1",EN_PF_Year3!J14 &lt;&gt;1,EN_PF_YearY!D20&lt;&gt;"Year 1",EN_PF_YearY!J14 &lt;&gt;1,EN_PF_YearZ!D20&lt;&gt;"Year 1",EN_PF_YearZ!J14 &lt;&gt;1),"",AND(OR(EN_PF_Year3!D20="Year 1",EN_PF_Year3!J14 =1),J55=""),"",AND(OR(EN_PF_YearY!D20="Year 1",EN_PF_YearY!J14 =1), J55=""),"",AND(OR(EN_PF_YearZ!D20="Year 1",EN_PF_YearZ!J14 =1), J55=""),"")</f>
        <v/>
      </c>
      <c r="Q80" s="117" t="str" cm="1">
        <f t="array" ref="Q80">_xlfn.IFS(AND(OR(EN_PF_Year3!D20="Year 2",EN_PF_Year3!J14 =2),K55&lt;&gt;""),EN_PF_Year3!L36,AND(OR(EN_PF_YearY!D20="Year 2",EN_PF_YearY!J14 =2), K55&lt;&gt;""),EN_PF_YearY!L36,AND(OR(EN_PF_YearZ!D20="Year 2",EN_PF_YearZ!J14 =2), K55&lt;&gt;""),EN_PF_YearZ!L36,AND(EN_PF_Year3!D20&lt;&gt;"Year 2",EN_PF_Year3!J14 &lt;&gt;2,EN_PF_YearY!D20&lt;&gt;"Year 2",EN_PF_YearY!J14 &lt;&gt;2,EN_PF_YearZ!D20&lt;&gt;"Year 2",EN_PF_YearZ!J14 &lt;&gt;2),"",AND(OR(EN_PF_Year3!D20="Year 2",EN_PF_Year3!J14 =2),K55=""),"",AND(OR(EN_PF_YearY!D20="Year 2",EN_PF_YearY!J14 =2), K55=""),"",AND(OR(EN_PF_YearZ!D20="Year 2",EN_PF_YearZ!J14 =2), K55=""),"")</f>
        <v/>
      </c>
      <c r="R80" s="117" t="str" cm="1">
        <f t="array" ref="R80">_xlfn.IFS(AND(OR(EN_PF_Year3!D20="Year 3",EN_PF_Year3!J14 =3),L55&lt;&gt;""),EN_PF_Year3!L36,AND(OR(EN_PF_YearY!D20="Year 3",EN_PF_YearY!J14 =3), L55&lt;&gt;""),EN_PF_YearY!L36,AND(OR(EN_PF_YearZ!D20="Year 3",EN_PF_YearZ!J14 =3), L55&lt;&gt;""),EN_PF_YearZ!L36,AND(EN_PF_Year3!D20&lt;&gt;"Year 3",EN_PF_Year3!J14 &lt;&gt;3,EN_PF_YearY!D20&lt;&gt;"Year 3",EN_PF_YearY!J14 &lt;&gt;3,EN_PF_YearZ!D20&lt;&gt;"Year 3",EN_PF_YearZ!J14 &lt;&gt;3),"",AND(OR(EN_PF_Year3!D20="Year 3",EN_PF_Year3!J14 =3),L55=""),"",AND(OR(EN_PF_YearY!D20="Year 3",EN_PF_YearY!J14 =3), L55=""),"",AND(OR(EN_PF_YearZ!D20="Year 3",EN_PF_YearZ!J14 =3), L55=""),"")</f>
        <v/>
      </c>
      <c r="S80" s="17"/>
      <c r="T80" s="17"/>
      <c r="U80" s="17"/>
      <c r="V80" s="17"/>
    </row>
    <row r="81" spans="1:30" ht="69.599999999999994" customHeight="1" x14ac:dyDescent="0.2">
      <c r="A81" s="17"/>
      <c r="B81" s="340">
        <v>5</v>
      </c>
      <c r="C81" s="341" t="s">
        <v>354</v>
      </c>
      <c r="D81" s="285" t="s">
        <v>352</v>
      </c>
      <c r="E81" s="286"/>
      <c r="F81" s="287"/>
      <c r="G81" s="299" t="s">
        <v>498</v>
      </c>
      <c r="H81" s="300"/>
      <c r="I81" s="300"/>
      <c r="J81" s="17"/>
      <c r="K81" s="296" t="str" cm="1">
        <f t="array" ref="K81">_xlfn.IFS(I55="","", I55&lt;0.25,"Non-compliant",AND(I55&gt;=0.25,I55&lt;0.58),"Compliant with issues",I55&gt;=0.58,"Fully compliant")</f>
        <v>Compliant with issues</v>
      </c>
      <c r="L81" s="97" t="str" cm="1">
        <f t="array" ref="L81">_xlfn.IFS(OR(P81=3,P81=2),"Fully Compliant",P81= 1,"Compliant with issues",P81 = 0,"Non-compliant",P81 = "","")</f>
        <v/>
      </c>
      <c r="M81" s="97" t="str" cm="1">
        <f t="array" ref="M81">_xlfn.IFS(OR(Q81=3,Q81=2),"Fully Compliant",Q81= 1,"Compliant with issues",Q81 = 0,"Non-compliant",Q81 = "","")</f>
        <v/>
      </c>
      <c r="N81" s="77" t="str" cm="1">
        <f t="array" ref="N81">_xlfn.IFS(OR(R81=3,R81=2),"Fully Compliant",R81= 1,"Compliant with issues",R81 = 0,"Non-compliant",R81 = "","")</f>
        <v/>
      </c>
      <c r="O81" s="17"/>
      <c r="P81" s="117" t="str" cm="1">
        <f t="array" ref="P81">_xlfn.IFS(AND(OR(EN_PF_Year3!D20="Year 1",EN_PF_Year3!J14 =1),J55&lt;&gt;""),EN_PF_Year3!L37,AND(OR(EN_PF_YearY!D20="Year 1",EN_PF_YearY!J14 =1), J55&lt;&gt;""),EN_PF_YearY!L37,AND(OR(EN_PF_YearZ!D20="Year 1",EN_PF_YearZ!J14 =1), J55&lt;&gt;""),EN_PF_YearZ!L37,AND(EN_PF_Year3!D20&lt;&gt;"Year 1",EN_PF_Year3!J14 &lt;&gt;1,EN_PF_YearY!D20&lt;&gt;"Year 1",EN_PF_YearY!J14 &lt;&gt;1,EN_PF_YearZ!D20&lt;&gt;"Year 1",EN_PF_YearZ!J14 &lt;&gt;1),"",AND(OR(EN_PF_Year3!D20="Year 1",EN_PF_Year3!J14 =1),J55=""),"",AND(OR(EN_PF_YearY!D20="Year 1",EN_PF_YearY!J14 =1), J55=""),"",AND(OR(EN_PF_YearZ!D20="Year 1",EN_PF_YearZ!J14 =1), J55=""),"")</f>
        <v/>
      </c>
      <c r="Q81" s="117" t="str" cm="1">
        <f t="array" ref="Q81">_xlfn.IFS(AND(OR(EN_PF_Year3!D20="Year 2",EN_PF_Year3!J14 =2),K55&lt;&gt;""),EN_PF_Year3!L37,AND(OR(EN_PF_YearY!D20="Year 2",EN_PF_YearY!J14 =2), K55&lt;&gt;""),EN_PF_YearY!L37,AND(OR(EN_PF_YearZ!D20="Year 2",EN_PF_YearZ!J14 =2), K55&lt;&gt;""),EN_PF_YearZ!L37,AND(EN_PF_Year3!D20&lt;&gt;"Year 2",EN_PF_Year3!J14 &lt;&gt;2,EN_PF_YearY!D20&lt;&gt;"Year 2",EN_PF_YearY!J14 &lt;&gt;2,EN_PF_YearZ!D20&lt;&gt;"Year 2",EN_PF_YearZ!J14 &lt;&gt;2),"",AND(OR(EN_PF_Year3!D20="Year 2",EN_PF_Year3!J14 =2),K55=""),"",AND(OR(EN_PF_YearY!D20="Year 2",EN_PF_YearY!J14 =2), K55=""),"",AND(OR(EN_PF_YearZ!D20="Year 2",EN_PF_YearZ!J14 =2), K55=""),"")</f>
        <v/>
      </c>
      <c r="R81" s="117" t="str" cm="1">
        <f t="array" ref="R81">_xlfn.IFS(AND(OR(EN_PF_Year3!D20="Year 3",EN_PF_Year3!J14 =3),L55&lt;&gt;""),EN_PF_Year3!L37,AND(OR(EN_PF_YearY!D20="Year 3",EN_PF_YearY!J14 =3), L55&lt;&gt;""),EN_PF_YearY!L37,AND(OR(EN_PF_YearZ!D20="Year 3",EN_PF_YearZ!J14 =3), L55&lt;&gt;""),EN_PF_YearZ!L37,AND(EN_PF_Year3!D20&lt;&gt;"Year 3",EN_PF_Year3!J14 &lt;&gt;3,EN_PF_YearY!D20&lt;&gt;"Year 3",EN_PF_YearY!J14 &lt;&gt;3,EN_PF_YearZ!D20&lt;&gt;"Year 3",EN_PF_YearZ!J14 &lt;&gt;3),"",AND(OR(EN_PF_Year3!D20="Year 3",EN_PF_Year3!J14 =3),L55=""),"",AND(OR(EN_PF_YearY!D20="Year 3",EN_PF_YearY!J14 =3), L55=""),"",AND(OR(EN_PF_YearZ!D20="Year 3",EN_PF_YearZ!J14 =3), L55=""),"")</f>
        <v/>
      </c>
      <c r="S81" s="17"/>
      <c r="T81" s="17"/>
      <c r="U81" s="17"/>
      <c r="V81" s="17"/>
    </row>
    <row r="82" spans="1:30" ht="69.599999999999994" customHeight="1" x14ac:dyDescent="0.2">
      <c r="A82" s="17"/>
      <c r="B82" s="340"/>
      <c r="C82" s="341"/>
      <c r="D82" s="285" t="s">
        <v>353</v>
      </c>
      <c r="E82" s="286"/>
      <c r="F82" s="287"/>
      <c r="G82" s="299" t="s">
        <v>345</v>
      </c>
      <c r="H82" s="300"/>
      <c r="I82" s="300"/>
      <c r="J82" s="17"/>
      <c r="K82" s="297"/>
      <c r="L82" s="97" t="str" cm="1">
        <f t="array" ref="L82">_xlfn.IFS(OR(P82=3,P82=2),"Fully Compliant",P82= 1,"Compliant with issues",P82 = 0,"Non-compliant",P82 = "","")</f>
        <v/>
      </c>
      <c r="M82" s="97" t="str" cm="1">
        <f t="array" ref="M82">_xlfn.IFS(OR(Q82=3,Q82=2),"Fully Compliant",Q82= 1,"Compliant with issues",Q82 = 0,"Non-compliant",Q82 = "","")</f>
        <v/>
      </c>
      <c r="N82" s="77" t="str" cm="1">
        <f t="array" ref="N82">_xlfn.IFS(OR(R82=3,R82=2),"Fully Compliant",R82= 1,"Compliant with issues",R82 = 0,"Non-compliant",R82 = "","")</f>
        <v/>
      </c>
      <c r="O82" s="17"/>
      <c r="P82" s="117" t="str" cm="1">
        <f t="array" ref="P82">_xlfn.IFS(AND(OR(EN_PF_Year3!D20="Year 1",EN_PF_Year3!J14 =1),J55&lt;&gt;""),EN_PF_Year3!L39,AND(OR(EN_PF_YearY!D20="Year 1",EN_PF_YearY!J14 =1), J55&lt;&gt;""),EN_PF_YearY!L39,AND(OR(EN_PF_YearZ!D20="Year 1",EN_PF_YearZ!J14 =1), J55&lt;&gt;""),EN_PF_YearZ!L39,AND(EN_PF_Year3!D20&lt;&gt;"Year 1",EN_PF_Year3!J14 &lt;&gt;1,EN_PF_YearY!D20&lt;&gt;"Year 1",EN_PF_YearY!J14 &lt;&gt;1,EN_PF_YearZ!D20&lt;&gt;"Year 1",EN_PF_YearZ!J14 &lt;&gt;1),"",AND(OR(EN_PF_Year3!D20="Year 1",EN_PF_Year3!J14 =1),J55=""),"",AND(OR(EN_PF_YearY!D20="Year 1",EN_PF_YearY!J14 =1), J55=""),"",AND(OR(EN_PF_YearZ!D20="Year 1",EN_PF_YearZ!J14 =1), J55=""),"")</f>
        <v/>
      </c>
      <c r="Q82" s="117" t="str" cm="1">
        <f t="array" ref="Q82">_xlfn.IFS(AND(OR(EN_PF_Year3!D20="Year 2",EN_PF_Year3!J14 =2),K55&lt;&gt;""),EN_PF_Year3!L39,AND(OR(EN_PF_YearY!D20="Year 2",EN_PF_YearY!J14 =2), K55&lt;&gt;""),EN_PF_YearY!L39,AND(OR(EN_PF_YearZ!D20="Year 2",EN_PF_YearZ!J14 =2), K55&lt;&gt;""),EN_PF_YearZ!L39,AND(EN_PF_Year3!D20&lt;&gt;"Year 2",EN_PF_Year3!J14 &lt;&gt;2,EN_PF_YearY!D20&lt;&gt;"Year 2",EN_PF_YearY!J14 &lt;&gt;2,EN_PF_YearZ!D20&lt;&gt;"Year 2",EN_PF_YearZ!J14 &lt;&gt;2),"",AND(OR(EN_PF_Year3!D20="Year 2",EN_PF_Year3!J14 =2),K55=""),"",AND(OR(EN_PF_YearY!D20="Year 2",EN_PF_YearY!J14 =2), K55=""),"",AND(OR(EN_PF_YearZ!D20="Year 2",EN_PF_YearZ!J14 =2), K55=""),"")</f>
        <v/>
      </c>
      <c r="R82" s="117" t="str" cm="1">
        <f t="array" ref="R82">_xlfn.IFS(AND(OR(EN_PF_Year3!D20="Year 3",EN_PF_Year3!J14 =3),L55&lt;&gt;""),EN_PF_Year3!L39,AND(OR(EN_PF_YearY!D20="Year 3",EN_PF_YearY!J14 =3), L55&lt;&gt;""),EN_PF_YearY!L39,AND(OR(EN_PF_YearZ!D20="Year 3",EN_PF_YearZ!J14 =3), L55&lt;&gt;""),EN_PF_YearZ!L39,AND(EN_PF_Year3!D20&lt;&gt;"Year 3",EN_PF_Year3!J14 &lt;&gt;3,EN_PF_YearY!D20&lt;&gt;"Year 3",EN_PF_YearY!J14 &lt;&gt;3,EN_PF_YearZ!D20&lt;&gt;"Year 3",EN_PF_YearZ!J14 &lt;&gt;3),"",AND(OR(EN_PF_Year3!D20="Year 3",EN_PF_Year3!J14 =3),L55=""),"",AND(OR(EN_PF_YearY!D20="Year 3",EN_PF_YearY!J14 =3), L55=""),"",AND(OR(EN_PF_YearZ!D20="Year 3",EN_PF_YearZ!J14 =3), L55=""),"")</f>
        <v/>
      </c>
      <c r="S82" s="17"/>
      <c r="T82" s="17"/>
      <c r="U82" s="17"/>
      <c r="V82" s="17"/>
    </row>
    <row r="83" spans="1:30" ht="69.599999999999994" customHeight="1" x14ac:dyDescent="0.2">
      <c r="A83" s="17"/>
      <c r="B83" s="340"/>
      <c r="C83" s="341"/>
      <c r="D83" s="285" t="s">
        <v>356</v>
      </c>
      <c r="E83" s="286"/>
      <c r="F83" s="287"/>
      <c r="G83" s="299" t="s">
        <v>495</v>
      </c>
      <c r="H83" s="300"/>
      <c r="I83" s="300"/>
      <c r="J83" s="17"/>
      <c r="K83" s="297"/>
      <c r="L83" s="97" t="str" cm="1">
        <f t="array" ref="L83">_xlfn.IFS(OR(P83=3,P83=2),"Fully Compliant",P83= 1,"Compliant with issues",P83 = 0,"Non-compliant",P83 = "","")</f>
        <v/>
      </c>
      <c r="M83" s="47" t="str" cm="1">
        <f t="array" ref="M83">_xlfn.IFS(OR(Q83=3,Q83=2),"Fully Compliant",Q83= 1,"Compliant with issues",Q83 = 0,"Non-compliant",Q83 = "","")</f>
        <v/>
      </c>
      <c r="N83" s="77" t="str" cm="1">
        <f t="array" ref="N83">_xlfn.IFS(OR(R83=3,R83=2),"Fully Compliant",R83= 1,"Compliant with issues",R83 = 0,"Non-compliant",R83 = "","")</f>
        <v/>
      </c>
      <c r="O83" s="17"/>
      <c r="P83" s="117" t="str" cm="1">
        <f t="array" ref="P83">_xlfn.IFS(AND(OR(EN_PF_Year3!D20="Year 1",EN_PF_Year3!J14 =1),J55&lt;&gt;""),EN_PF_Year3!L41,AND(OR(EN_PF_YearY!D20="Year 1",EN_PF_YearY!J14 =1), J55&lt;&gt;""),EN_PF_YearY!L41,AND(OR(EN_PF_YearZ!D20="Year 1",EN_PF_YearZ!J14 =1), J55&lt;&gt;""),EN_PF_YearZ!L41,AND(EN_PF_Year3!D20&lt;&gt;"Year 1",EN_PF_Year3!J14 &lt;&gt;1,EN_PF_YearY!D20&lt;&gt;"Year 1",EN_PF_YearY!J14 &lt;&gt;1,EN_PF_YearZ!D20&lt;&gt;"Year 1",EN_PF_YearZ!J14 &lt;&gt;1),"",AND(OR(EN_PF_Year3!D20="Year 1",EN_PF_Year3!J14 =1),J55=""),"",AND(OR(EN_PF_YearY!D20="Year 1",EN_PF_YearY!J14 =1), J55=""),"",AND(OR(EN_PF_YearZ!D20="Year 1",EN_PF_YearZ!J14 =1), J55=""),"")</f>
        <v/>
      </c>
      <c r="Q83" s="117" t="str" cm="1">
        <f t="array" ref="Q83">_xlfn.IFS(AND(OR(EN_PF_Year3!D20="Year 2",EN_PF_Year3!J14 =2),K55&lt;&gt;""),EN_PF_Year3!L41,AND(OR(EN_PF_YearY!D20="Year 2",EN_PF_YearY!J14 =2), K55&lt;&gt;""),EN_PF_YearY!L41,AND(OR(EN_PF_YearZ!D20="Year 2",EN_PF_YearZ!J14 =2), K55&lt;&gt;""),EN_PF_YearZ!L41,AND(EN_PF_Year3!D20&lt;&gt;"Year 2",EN_PF_Year3!J14 &lt;&gt;2,EN_PF_YearY!D20&lt;&gt;"Year 2",EN_PF_YearY!J14 &lt;&gt;2,EN_PF_YearZ!D20&lt;&gt;"Year 2",EN_PF_YearZ!J14 &lt;&gt;2),"",AND(OR(EN_PF_Year3!D20="Year 2",EN_PF_Year3!J14 =2),K55=""),"",AND(OR(EN_PF_YearY!D20="Year 2",EN_PF_YearY!J14 =2), K55=""),"",AND(OR(EN_PF_YearZ!D20="Year 2",EN_PF_YearZ!J14 =2), K55=""),"")</f>
        <v/>
      </c>
      <c r="R83" s="117" t="str" cm="1">
        <f t="array" ref="R83">_xlfn.IFS(AND(OR(EN_PF_Year3!D20="Year 3",EN_PF_Year3!J14 =3),L55&lt;&gt;""),EN_PF_Year3!L41,AND(OR(EN_PF_YearY!D20="Year 3",EN_PF_YearY!J14 =3), L55&lt;&gt;""),EN_PF_YearY!L41,AND(OR(EN_PF_YearZ!D20="Year 3",EN_PF_YearZ!J14 =3), L55&lt;&gt;""),EN_PF_YearZ!L41,AND(EN_PF_Year3!D20&lt;&gt;"Year 3",EN_PF_Year3!J14 &lt;&gt;3,EN_PF_YearY!D20&lt;&gt;"Year 3",EN_PF_YearY!J14 &lt;&gt;3,EN_PF_YearZ!D20&lt;&gt;"Year 3",EN_PF_YearZ!J14 &lt;&gt;3),"",AND(OR(EN_PF_Year3!D20="Year 3",EN_PF_Year3!J14 =3),L55=""),"",AND(OR(EN_PF_YearY!D20="Year 3",EN_PF_YearY!J14 =3), L55=""),"",AND(OR(EN_PF_YearZ!D20="Year 3",EN_PF_YearZ!J14 =3), L55=""),"")</f>
        <v/>
      </c>
      <c r="S83" s="17"/>
      <c r="T83" s="17"/>
      <c r="U83" s="17"/>
      <c r="V83" s="17"/>
    </row>
    <row r="84" spans="1:30" ht="82.35" customHeight="1" x14ac:dyDescent="0.2">
      <c r="A84" s="17"/>
      <c r="B84" s="340"/>
      <c r="C84" s="341"/>
      <c r="D84" s="285" t="s">
        <v>357</v>
      </c>
      <c r="E84" s="286"/>
      <c r="F84" s="287"/>
      <c r="G84" s="299" t="s">
        <v>355</v>
      </c>
      <c r="H84" s="300"/>
      <c r="I84" s="300"/>
      <c r="J84" s="17"/>
      <c r="K84" s="298"/>
      <c r="L84" s="97" t="str" cm="1">
        <f t="array" ref="L84">_xlfn.IFS(OR(P84=3,P84=2),"Fully Compliant",P84= 1,"Compliant with issues",P84 = 0,"Non-compliant",P84 = "","")</f>
        <v/>
      </c>
      <c r="M84" s="97" t="str" cm="1">
        <f t="array" ref="M84">_xlfn.IFS(OR(Q84=3,Q84=2),"Fully Compliant",Q84= 1,"Compliant with issues",Q84 = 0,"Non-compliant",Q84 = "","")</f>
        <v/>
      </c>
      <c r="N84" s="77" t="str" cm="1">
        <f t="array" ref="N84">_xlfn.IFS(OR(R84=3,R84=2),"Fully Compliant",R84= 1,"Compliant with issues",R84 = 0,"Non-compliant",R84 = "","")</f>
        <v/>
      </c>
      <c r="O84" s="17"/>
      <c r="P84" s="117" t="str" cm="1">
        <f t="array" ref="P84">_xlfn.IFS(AND(OR(EN_PF_Year3!D20="Year 1",EN_PF_Year3!J14 =1),J55&lt;&gt;""),EN_PF_Year3!L38,AND(OR(EN_PF_YearY!D20="Year 1",EN_PF_YearY!J14 =1), J55&lt;&gt;""),EN_PF_YearY!L38,AND(OR(EN_PF_YearZ!D20="Year 1",EN_PF_YearZ!J14 =1), J55&lt;&gt;""),EN_PF_YearZ!L38,AND(EN_PF_Year3!D20&lt;&gt;"Year 1",EN_PF_Year3!J14 &lt;&gt;1,EN_PF_YearY!D20&lt;&gt;"Year 1",EN_PF_YearY!J14 &lt;&gt;1,EN_PF_YearZ!D20&lt;&gt;"Year 1",EN_PF_YearZ!J14 &lt;&gt;1),"",AND(OR(EN_PF_Year3!D20="Year 1",EN_PF_Year3!J14 =1),J55=""),"",AND(OR(EN_PF_YearY!D20="Year 1",EN_PF_YearY!J14 =1), J55=""),"",AND(OR(EN_PF_YearZ!D20="Year 1",EN_PF_YearZ!J14 =1), J55=""),"")</f>
        <v/>
      </c>
      <c r="Q84" s="117" t="str" cm="1">
        <f t="array" ref="Q84">_xlfn.IFS(AND(OR(EN_PF_Year3!D20="Year 2",EN_PF_Year3!J14 =2),K55&lt;&gt;""),EN_PF_Year3!L38,AND(OR(EN_PF_YearY!D20="Year 2",EN_PF_YearY!J14 =2), K55&lt;&gt;""),EN_PF_YearY!L38,AND(OR(EN_PF_YearZ!D20="Year 2",EN_PF_YearZ!J14 =2), K55&lt;&gt;""),EN_PF_YearZ!L38,AND(EN_PF_Year3!D20&lt;&gt;"Year 2",EN_PF_Year3!J14 &lt;&gt;2,EN_PF_YearY!D20&lt;&gt;"Year 2",EN_PF_YearY!J14 &lt;&gt;2,EN_PF_YearZ!D20&lt;&gt;"Year 2",EN_PF_YearZ!J14 &lt;&gt;2),"",AND(OR(EN_PF_Year3!D20="Year 2",EN_PF_Year3!J14 =2),K55=""),"",AND(OR(EN_PF_YearY!D20="Year 2",EN_PF_YearY!J14 =2), K55=""),"",AND(OR(EN_PF_YearZ!D20="Year 2",EN_PF_YearZ!J14 =2), K55=""),"")</f>
        <v/>
      </c>
      <c r="R84" s="117" t="str" cm="1">
        <f t="array" ref="R84">_xlfn.IFS(AND(OR(EN_PF_Year3!D20="Year 3",EN_PF_Year3!J14 =3),L55&lt;&gt;""),EN_PF_Year3!L38,AND(OR(EN_PF_YearY!D20="Year 3",EN_PF_YearY!J14 =3), L55&lt;&gt;""),EN_PF_YearY!L38,AND(OR(EN_PF_YearZ!D20="Year 3",EN_PF_YearZ!J14 =3), L55&lt;&gt;""),EN_PF_YearZ!L38,AND(EN_PF_Year3!D20&lt;&gt;"Year 3",EN_PF_Year3!J14 &lt;&gt;3,EN_PF_YearY!D20&lt;&gt;"Year 3",EN_PF_YearY!J14 &lt;&gt;3,EN_PF_YearZ!D20&lt;&gt;"Year 3",EN_PF_YearZ!J14 &lt;&gt;3),"",AND(OR(EN_PF_Year3!D20="Year 3",EN_PF_Year3!J14 =3),L55=""),"",AND(OR(EN_PF_YearY!D20="Year 3",EN_PF_YearY!J14 =3), L55=""),"",AND(OR(EN_PF_YearZ!D20="Year 3",EN_PF_YearZ!J14 =3), L55=""),"")</f>
        <v/>
      </c>
      <c r="S84" s="17"/>
      <c r="T84" s="17"/>
      <c r="U84" s="17"/>
      <c r="V84" s="17"/>
    </row>
    <row r="85" spans="1:30" ht="69.599999999999994" customHeight="1" x14ac:dyDescent="0.2">
      <c r="A85" s="17"/>
      <c r="B85" s="340">
        <v>6</v>
      </c>
      <c r="C85" s="341" t="s">
        <v>359</v>
      </c>
      <c r="D85" s="285" t="s">
        <v>358</v>
      </c>
      <c r="E85" s="286"/>
      <c r="F85" s="287"/>
      <c r="G85" s="299" t="s">
        <v>360</v>
      </c>
      <c r="H85" s="300"/>
      <c r="I85" s="300"/>
      <c r="J85" s="17"/>
      <c r="K85" s="296" t="str" cm="1">
        <f t="array" ref="K85">_xlfn.IFS(I63="","", I63&lt;0.25,"Non-compliant",AND(I63&gt;=0.25,I63&lt;0.58),"Compliant with issues",I63&gt;=0.58,"Fully compliant")</f>
        <v>Fully compliant</v>
      </c>
      <c r="L85" s="97" t="str" cm="1">
        <f t="array" ref="L85">_xlfn.IFS(OR(P85=3,P85=2),"Fully Compliant",P85= 1,"Compliant with issues",P85 = 0,"Non-compliant",P85 = "","")</f>
        <v/>
      </c>
      <c r="M85" s="97" t="str" cm="1">
        <f t="array" ref="M85">_xlfn.IFS(OR(Q85=3,Q85=2),"Fully Compliant",Q85= 1,"Compliant with issues",Q85 = 0,"Non-compliant",Q85 = "","")</f>
        <v/>
      </c>
      <c r="N85" s="77" t="str" cm="1">
        <f t="array" ref="N85">_xlfn.IFS(OR(R85=3,R85=2),"Fully Compliant",R85= 1,"Compliant with issues",R85 = 0,"Non-compliant",R85 = "","")</f>
        <v/>
      </c>
      <c r="O85" s="17"/>
      <c r="P85" s="117" t="str" cm="1">
        <f t="array" ref="P85">_xlfn.IFS(AND(OR(EN_PF_Year3!D20="Year 1",EN_PF_Year3!J14 =1),J63&lt;&gt;""),EN_PF_Year3!L48,AND(OR(EN_PF_YearY!D20="Year 1",EN_PF_YearY!J14 =1), J63&lt;&gt;""),EN_PF_YearY!L48,AND(OR(EN_PF_YearZ!D20="Year 1",EN_PF_YearZ!J14 =1), J63&lt;&gt;""),EN_PF_YearZ!L48,AND(EN_PF_Year3!D20&lt;&gt;"Year 1",EN_PF_Year3!J14 &lt;&gt;1,EN_PF_YearY!D20&lt;&gt;"Year 1",EN_PF_YearY!J14 &lt;&gt;1,EN_PF_YearZ!D20&lt;&gt;"Year 1",EN_PF_YearZ!J14 &lt;&gt;1),"",AND(OR(EN_PF_Year3!D20="Year 1",EN_PF_Year3!J14 =1),J63=""),"",AND(OR(EN_PF_YearY!D20="Year 1",EN_PF_YearY!J14 =1), J63=""),"",AND(OR(EN_PF_YearZ!D20="Year 1",EN_PF_YearZ!J14 =1), J63=""),"")</f>
        <v/>
      </c>
      <c r="Q85" s="117" t="str" cm="1">
        <f t="array" ref="Q85">_xlfn.IFS(AND(OR(EN_PF_Year3!D20="Year 2",EN_PF_Year3!J14 =2),K63&lt;&gt;""),EN_PF_Year3!L48,AND(OR(EN_PF_YearY!D20="Year 2",EN_PF_YearY!J14 =2), K63&lt;&gt;""),EN_PF_YearY!L48,AND(OR(EN_PF_YearZ!D20="Year 2",EN_PF_YearZ!J14 =2), K63&lt;&gt;""),EN_PF_YearZ!L48,AND(EN_PF_Year3!D20&lt;&gt;"Year 2",EN_PF_Year3!J14 &lt;&gt;2,EN_PF_YearY!D20&lt;&gt;"Year 2",EN_PF_YearY!J14 &lt;&gt;2,EN_PF_YearZ!D20&lt;&gt;"Year 2",EN_PF_YearZ!J14 &lt;&gt;2),"",AND(OR(EN_PF_Year3!D20="Year 2",EN_PF_Year3!J14 =2),K63=""),"",AND(OR(EN_PF_YearY!D20="Year 2",EN_PF_YearY!J14 =2), K63=""),"",AND(OR(EN_PF_YearZ!D20="Year 2",EN_PF_YearZ!J14 =2), K63=""),"")</f>
        <v/>
      </c>
      <c r="R85" s="117" t="str" cm="1">
        <f t="array" ref="R85">_xlfn.IFS(AND(OR(EN_PF_Year3!D20="Year 3",EN_PF_Year3!J14 =3),L63&lt;&gt;""),EN_PF_Year3!L48,AND(OR(EN_PF_YearY!D20="Year 3",EN_PF_YearY!J14 =3), L63&lt;&gt;""),EN_PF_YearY!L48,AND(OR(EN_PF_YearZ!D20="Year 3",EN_PF_YearZ!J14 =3), L63&lt;&gt;""),EN_PF_YearZ!L48,AND(EN_PF_Year3!D20&lt;&gt;"Year 3",EN_PF_Year3!J14 &lt;&gt;3,EN_PF_YearY!D20&lt;&gt;"Year 3",EN_PF_YearY!J14 &lt;&gt;3,EN_PF_YearZ!D20&lt;&gt;"Year 3",EN_PF_YearZ!J14 &lt;&gt;3),"",AND(OR(EN_PF_Year3!D20="Year 3",EN_PF_Year3!J14 =3),L63=""),"",AND(OR(EN_PF_YearY!D20="Year 3",EN_PF_YearY!J14 =3), L63=""),"",AND(OR(EN_PF_YearZ!D20="Year 3",EN_PF_YearZ!J14 =3), L63=""),"")</f>
        <v/>
      </c>
      <c r="S85" s="17"/>
      <c r="T85" s="17"/>
      <c r="U85" s="17"/>
      <c r="V85" s="17"/>
    </row>
    <row r="86" spans="1:30" ht="69.599999999999994" customHeight="1" x14ac:dyDescent="0.2">
      <c r="A86" s="17"/>
      <c r="B86" s="340"/>
      <c r="C86" s="341"/>
      <c r="D86" s="285" t="s">
        <v>361</v>
      </c>
      <c r="E86" s="286"/>
      <c r="F86" s="287"/>
      <c r="G86" s="299" t="s">
        <v>362</v>
      </c>
      <c r="H86" s="300"/>
      <c r="I86" s="300"/>
      <c r="J86" s="17"/>
      <c r="K86" s="297"/>
      <c r="L86" s="97" t="str" cm="1">
        <f t="array" ref="L86">_xlfn.IFS(OR(P86=3,P86=2),"Fully Compliant",P86= 1,"Compliant with issues",P86 = 0,"Non-compliant",P86 = "","")</f>
        <v/>
      </c>
      <c r="M86" s="97" t="str" cm="1">
        <f t="array" ref="M86">_xlfn.IFS(OR(Q86=3,Q86=2),"Fully Compliant",Q86= 1,"Compliant with issues",Q86 = 0,"Non-compliant",Q86 = "","")</f>
        <v/>
      </c>
      <c r="N86" s="77" t="str" cm="1">
        <f t="array" ref="N86">_xlfn.IFS(OR(R86=3,R86=2),"Fully Compliant",R86= 1,"Compliant with issues",R86 = 0,"Non-compliant",R86 = "","")</f>
        <v/>
      </c>
      <c r="O86" s="17"/>
      <c r="P86" s="117" t="str" cm="1">
        <f t="array" ref="P86">_xlfn.IFS(AND(OR(EN_PF_Year3!D20="Year 1",EN_PF_Year3!J14 =1),J63&lt;&gt;""),EN_PF_Year3!L49,AND(OR(EN_PF_YearY!D20="Year 1",EN_PF_YearY!J14 =1), J63&lt;&gt;""),EN_PF_YearY!L49,AND(OR(EN_PF_YearZ!D20="Year 1",EN_PF_YearZ!J14 =1), J63&lt;&gt;""),EN_PF_YearZ!L49,AND(EN_PF_Year3!D20&lt;&gt;"Year 1",EN_PF_Year3!J14 &lt;&gt;1,EN_PF_YearY!D20&lt;&gt;"Year 1",EN_PF_YearY!J14 &lt;&gt;1,EN_PF_YearZ!D20&lt;&gt;"Year 1",EN_PF_YearZ!J14 &lt;&gt;1),"",AND(OR(EN_PF_Year3!D20="Year 1",EN_PF_Year3!J14 =1),J63=""),"",AND(OR(EN_PF_YearY!D20="Year 1",EN_PF_YearY!J14 =1), J63=""),"",AND(OR(EN_PF_YearZ!D20="Year 1",EN_PF_YearZ!J14 =1), J63=""),"")</f>
        <v/>
      </c>
      <c r="Q86" s="117" t="str" cm="1">
        <f t="array" ref="Q86">_xlfn.IFS(AND(OR(EN_PF_Year3!D20="Year 2",EN_PF_Year3!J14 =2),K63&lt;&gt;""),EN_PF_Year3!L49,AND(OR(EN_PF_YearY!D20="Year 2",EN_PF_YearY!J14 =2), K63&lt;&gt;""),EN_PF_YearY!L49,AND(OR(EN_PF_YearZ!D20="Year 2",EN_PF_YearZ!J14 =2), K63&lt;&gt;""),EN_PF_YearZ!L49,AND(EN_PF_Year3!D20&lt;&gt;"Year 2",EN_PF_Year3!J14 &lt;&gt;2,EN_PF_YearY!D20&lt;&gt;"Year 2",EN_PF_YearY!J14 &lt;&gt;2,EN_PF_YearZ!D20&lt;&gt;"Year 2",EN_PF_YearZ!J14 &lt;&gt;2),"",AND(OR(EN_PF_Year3!D20="Year 2",EN_PF_Year3!J14 =2),K63=""),"",AND(OR(EN_PF_YearY!D20="Year 2",EN_PF_YearY!J14 =2), K63=""),"",AND(OR(EN_PF_YearZ!D20="Year 2",EN_PF_YearZ!J14 =2), K63=""),"")</f>
        <v/>
      </c>
      <c r="R86" s="117" t="str" cm="1">
        <f t="array" ref="R86">_xlfn.IFS(AND(OR(EN_PF_Year3!D20="Year 3",EN_PF_Year3!J14 =3),L63&lt;&gt;""),EN_PF_Year3!L49,AND(OR(EN_PF_YearY!D20="Year 3",EN_PF_YearY!J14 =3), L63&lt;&gt;""),EN_PF_YearY!L49,AND(OR(EN_PF_YearZ!D20="Year 3",EN_PF_YearZ!J14 =3), L63&lt;&gt;""),EN_PF_YearZ!L49,AND(EN_PF_Year3!D20&lt;&gt;"Year 3",EN_PF_Year3!J14 &lt;&gt;3,EN_PF_YearY!D20&lt;&gt;"Year 3",EN_PF_YearY!J14 &lt;&gt;3, EN_PF_YearZ!D20&lt;&gt;"Year 3",EN_PF_YearZ!J14 &lt;&gt;3),"",AND(OR(EN_PF_Year3!D20="Year 3",EN_PF_Year3!J14 =3),L63=""),"",AND(OR(EN_PF_YearY!D20="Year 3",EN_PF_YearY!J14 =3), L63=""),"",AND(OR(EN_PF_YearZ!D20="Year 3",EN_PF_YearZ!J14 =3), L63=""),"")</f>
        <v/>
      </c>
      <c r="S86" s="17"/>
      <c r="T86" s="17"/>
      <c r="U86" s="17"/>
      <c r="V86" s="17"/>
    </row>
    <row r="87" spans="1:30" ht="99.6" customHeight="1" x14ac:dyDescent="0.2">
      <c r="A87" s="17"/>
      <c r="B87" s="340"/>
      <c r="C87" s="341"/>
      <c r="D87" s="285" t="s">
        <v>364</v>
      </c>
      <c r="E87" s="286"/>
      <c r="F87" s="287"/>
      <c r="G87" s="299" t="s">
        <v>363</v>
      </c>
      <c r="H87" s="300"/>
      <c r="I87" s="300"/>
      <c r="J87" s="17"/>
      <c r="K87" s="297"/>
      <c r="L87" s="97" t="str" cm="1">
        <f t="array" ref="L87">_xlfn.IFS(OR(P87=3,P87=2),"Fully Compliant",P87= 1,"Compliant with issues",P87 = 0,"Non-compliant",P87 = "","")</f>
        <v/>
      </c>
      <c r="M87" s="97" t="str" cm="1">
        <f t="array" ref="M87">_xlfn.IFS(OR(Q87=3,Q87=2),"Fully Compliant",Q87= 1,"Compliant with issues",Q87 = 0,"Non-compliant",Q87 = "","")</f>
        <v/>
      </c>
      <c r="N87" s="77" t="str" cm="1">
        <f t="array" ref="N87">_xlfn.IFS(OR(R87=3,R87=2),"Fully Compliant",R87= 1,"Compliant with issues",R87 = 0,"Non-compliant",R87 = "","")</f>
        <v/>
      </c>
      <c r="O87" s="17"/>
      <c r="P87" s="117" t="str" cm="1">
        <f t="array" ref="P87">_xlfn.IFS(AND(OR(EN_PF_Year3!D20="Year 1",EN_PF_Year3!J14 =1),J63&lt;&gt;""),EN_PF_Year3!L49,AND(OR(EN_PF_YearY!D20="Year 1",EN_PF_YearY!J14 =1), J63&lt;&gt;""),EN_PF_YearY!L49,AND(OR(EN_PF_YearZ!D20="Year 1",EN_PF_YearZ!J14 =1), J63&lt;&gt;""),EN_PF_YearZ!L49,AND(EN_PF_Year3!D20&lt;&gt;"Year 1",EN_PF_Year3!J14 &lt;&gt;1,EN_PF_YearY!D20&lt;&gt;"Year 1",EN_PF_YearY!J14 &lt;&gt;1,EN_PF_YearZ!D20&lt;&gt;"Year 1",EN_PF_YearZ!J14 &lt;&gt;1),"",AND(OR(EN_PF_Year3!D20="Year 1",EN_PF_Year3!J14 =1),J63=""),"",AND(OR(EN_PF_YearY!D20="Year 1",EN_PF_YearY!J14 =1), J63=""),"",AND(OR(EN_PF_YearZ!D20="Year 1",EN_PF_YearZ!J14 =1), J63=""),"")</f>
        <v/>
      </c>
      <c r="Q87" s="117" t="str" cm="1">
        <f t="array" ref="Q87">_xlfn.IFS(AND(OR(EN_PF_Year3!D20="Year 2",EN_PF_Year3!J14 =2),K63&lt;&gt;""),EN_PF_Year3!L49,AND(OR(EN_PF_YearY!D20="Year 2",EN_PF_YearY!J14 =2), K63&lt;&gt;""),EN_PF_YearY!L49,AND(OR(EN_PF_YearZ!D20="Year 2",EN_PF_YearZ!J14 =2), K63&lt;&gt;""),EN_PF_YearZ!L49,AND(EN_PF_Year3!D20&lt;&gt;"Year 2",EN_PF_Year3!J14 &lt;&gt;2,EN_PF_YearY!D20&lt;&gt;"Year 2",EN_PF_YearY!J14 &lt;&gt;2,EN_PF_YearZ!D20&lt;&gt;"Year 2",EN_PF_YearZ!J14 &lt;&gt;2),"",AND(OR(EN_PF_Year3!D20="Year 2",EN_PF_Year3!J14 =2),K63=""),"",AND(OR(EN_PF_YearY!D20="Year 2",EN_PF_YearY!J14 =2), K63=""),"",AND(OR(EN_PF_YearZ!D20="Year 2",EN_PF_YearZ!J14 =2), K63=""),"")</f>
        <v/>
      </c>
      <c r="R87" s="117" t="str" cm="1">
        <f t="array" ref="R87">_xlfn.IFS(AND(OR(EN_PF_Year3!D20="Year 3",EN_PF_Year3!J14 =3),L63&lt;&gt;""),EN_PF_Year3!L49,AND(OR(EN_PF_YearY!D20="Year 3",EN_PF_YearY!J14 =3), L63&lt;&gt;""),EN_PF_YearY!L49,AND(OR(EN_PF_YearZ!D20="Year 3",EN_PF_YearZ!J14 =3), L63&lt;&gt;""),EN_PF_YearZ!L49,AND(EN_PF_Year3!D20&lt;&gt;"Year 3",EN_PF_Year3!J14 &lt;&gt;3,EN_PF_YearY!D20&lt;&gt;"Year 3",EN_PF_YearY!J14 &lt;&gt;3,EN_PF_YearZ!D20&lt;&gt;"Year 3",EN_PF_YearZ!J14 &lt;&gt;3),"",AND(OR(EN_PF_Year3!D20="Year 3",EN_PF_Year3!J14 =3),L63=""),"",AND(OR(EN_PF_YearY!D20="Year 3",EN_PF_YearY!J14 =3), L63=""),"",AND(OR(EN_PF_YearZ!D20="Year 3",EN_PF_YearZ!J14 =3), L63=""),"")</f>
        <v/>
      </c>
      <c r="S87" s="17"/>
      <c r="T87" s="17"/>
      <c r="U87" s="17"/>
      <c r="V87" s="17"/>
    </row>
    <row r="88" spans="1:30" ht="69.599999999999994" customHeight="1" x14ac:dyDescent="0.2">
      <c r="A88" s="17"/>
      <c r="B88" s="340"/>
      <c r="C88" s="341"/>
      <c r="D88" s="285" t="s">
        <v>365</v>
      </c>
      <c r="E88" s="286"/>
      <c r="F88" s="287"/>
      <c r="G88" s="299" t="s">
        <v>496</v>
      </c>
      <c r="H88" s="300"/>
      <c r="I88" s="300"/>
      <c r="J88" s="17"/>
      <c r="K88" s="297"/>
      <c r="L88" s="97" t="str" cm="1">
        <f t="array" ref="L88">_xlfn.IFS(OR(P88=3,P88=2),"Fully Compliant",P88= 1,"Compliant with issues",P88 = 0,"Non-compliant",P88 = "","")</f>
        <v/>
      </c>
      <c r="M88" s="47" t="str" cm="1">
        <f t="array" ref="M88">_xlfn.IFS(OR(Q88=3,Q88=2),"Fully Compliant",Q88= 1,"Compliant with issues",Q88 = 0,"Non-compliant",Q88 = "","")</f>
        <v/>
      </c>
      <c r="N88" s="77" t="str" cm="1">
        <f t="array" ref="N88">_xlfn.IFS(OR(R88=3,R88=2),"Fully Compliant",R88= 1,"Compliant with issues",R88 = 0,"Non-compliant",R88 = "","")</f>
        <v/>
      </c>
      <c r="O88" s="17"/>
      <c r="P88" s="117" t="str" cm="1">
        <f t="array" ref="P88">_xlfn.IFS(AND(OR(EN_PF_Year3!D20="Year 1",EN_PF_Year3!J14 =1),J63&lt;&gt;""),EN_PF_Year3!L48,AND(OR(EN_PF_YearY!D20="Year 1",EN_PF_YearY!J14 =1), J63&lt;&gt;""),EN_PF_YearY!L48,AND(OR(EN_PF_YearZ!D20="Year 1",EN_PF_YearZ!J14 =1), J63&lt;&gt;""),EN_PF_YearZ!L48,AND(EN_PF_Year3!D20&lt;&gt;"Year 1",EN_PF_Year3!J14 &lt;&gt;1,EN_PF_YearY!D20&lt;&gt;"Year 1",EN_PF_YearY!J14 &lt;&gt;1,EN_PF_YearZ!D20&lt;&gt;"Year 1",EN_PF_YearZ!J14 &lt;&gt;1),"",AND(OR(EN_PF_Year3!D20="Year 1",EN_PF_Year3!J14 =1),J63=""),"",AND(OR(EN_PF_YearY!D20="Year 1",EN_PF_YearY!J14 =1), J63=""),"",AND(OR(EN_PF_YearZ!D20="Year 1",EN_PF_YearZ!J14 =1), J63=""),"")</f>
        <v/>
      </c>
      <c r="Q88" s="117" t="str" cm="1">
        <f t="array" ref="Q88">_xlfn.IFS(AND(OR(EN_PF_Year3!D20="Year 2",EN_PF_Year3!J14 =2),K63&lt;&gt;""),EN_PF_Year3!L48,AND(OR(EN_PF_YearY!D20="Year 2",EN_PF_YearY!J14 =2), K63&lt;&gt;""),EN_PF_YearY!L48,AND(OR(EN_PF_YearZ!D20="Year 2",EN_PF_YearZ!J14 =2), K63&lt;&gt;""),EN_PF_YearZ!L48,AND(EN_PF_Year3!D20&lt;&gt;"Year 2",EN_PF_Year3!J14 &lt;&gt;2,EN_PF_YearY!D20&lt;&gt;"Year 2",EN_PF_YearY!J14 &lt;&gt;2,EN_PF_YearZ!D20&lt;&gt;"Year 2",EN_PF_YearZ!J14 &lt;&gt;2),"",AND(OR(EN_PF_Year3!D20="Year 2",EN_PF_Year3!J14 =2),K63=""),"",AND(OR(EN_PF_YearY!D20="Year 2",EN_PF_YearY!J14 =2), K63=""),"",AND(OR(EN_PF_YearZ!D20="Year 2",EN_PF_YearZ!J14 =2), K63=""),"")</f>
        <v/>
      </c>
      <c r="R88" s="117" t="str" cm="1">
        <f t="array" ref="R88">_xlfn.IFS(AND(OR(EN_PF_Year3!D20="Year 3",EN_PF_Year3!J14 =3),L63&lt;&gt;""),EN_PF_Year3!L48,AND(OR(EN_PF_YearY!D20="Year 3",EN_PF_YearY!J14 =3), L63&lt;&gt;""),EN_PF_YearY!L48,AND(OR(EN_PF_YearZ!D20="Year 3",EN_PF_YearZ!J14 =3), L63&lt;&gt;""),EN_PF_YearZ!L48,AND(EN_PF_Year3!D20&lt;&gt;"Year 3",EN_PF_Year3!J14 &lt;&gt;3,EN_PF_YearY!D20&lt;&gt;"Year 3",EN_PF_YearY!J14 &lt;&gt;3,EN_PF_YearZ!D20&lt;&gt;"Year 3",EN_PF_YearZ!J14 &lt;&gt;3),"",AND(OR(EN_PF_Year3!D20="Year 3",EN_PF_Year3!J14 =3),L63=""),"",AND(OR(EN_PF_YearY!D20="Year 3",EN_PF_YearY!J14 =3), L63=""),"",AND(OR(EN_PF_YearZ!D20="Year 3",EN_PF_YearZ!J14 =23), L63=""),"")</f>
        <v/>
      </c>
      <c r="S88" s="17"/>
      <c r="T88" s="17"/>
      <c r="U88" s="17"/>
      <c r="V88" s="17"/>
    </row>
    <row r="89" spans="1:30" ht="69.599999999999994" customHeight="1" x14ac:dyDescent="0.2">
      <c r="A89" s="17"/>
      <c r="B89" s="340"/>
      <c r="C89" s="341"/>
      <c r="D89" s="285" t="s">
        <v>366</v>
      </c>
      <c r="E89" s="286"/>
      <c r="F89" s="287"/>
      <c r="G89" s="299" t="s">
        <v>368</v>
      </c>
      <c r="H89" s="300"/>
      <c r="I89" s="300"/>
      <c r="J89" s="17"/>
      <c r="K89" s="297"/>
      <c r="L89" s="97" t="str" cm="1">
        <f t="array" ref="L89">_xlfn.IFS(OR(P89=3,P89=2),"Fully Compliant",P89= 1,"Compliant with issues",P89 = 0,"Non-compliant",P89 = "","")</f>
        <v/>
      </c>
      <c r="M89" s="97" t="str" cm="1">
        <f t="array" ref="M89">_xlfn.IFS(OR(Q89=3,Q89=2),"Fully Compliant",Q89= 1,"Compliant with issues",Q89 = 0,"Non-compliant",Q89 = "","")</f>
        <v/>
      </c>
      <c r="N89" s="77" t="str" cm="1">
        <f t="array" ref="N89">_xlfn.IFS(OR(R89=3,R89=2),"Fully Compliant",R89= 1,"Compliant with issues",R89 = 0,"Non-compliant",R89 = "","")</f>
        <v/>
      </c>
      <c r="O89" s="17"/>
      <c r="P89" s="117" t="str" cm="1">
        <f t="array" ref="P89">_xlfn.IFS(AND(OR(EN_PF_Year3!D20="Year 1",EN_PF_Year3!J14 =1),J63&lt;&gt;""),EN_PF_Year3!L48,AND(OR(EN_PF_YearY!D20="Year 1",EN_PF_YearY!J14 =1), J63&lt;&gt;""),EN_PF_YearY!L48,AND(OR(EN_PF_YearZ!D20="Year 1",EN_PF_YearZ!J14 =1), J63&lt;&gt;""),EN_PF_YearZ!L48,AND(EN_PF_Year3!D20&lt;&gt;"Year 1",EN_PF_Year3!J14 &lt;&gt;1,EN_PF_YearY!D20&lt;&gt;"Year 1",EN_PF_YearY!J14 &lt;&gt;1,EN_PF_YearZ!D20&lt;&gt;"Year 1",EN_PF_YearZ!J14 &lt;&gt;1),"",AND(OR(EN_PF_Year3!D20="Year 1",EN_PF_Year3!J14 =1),J63=""),"",AND(OR(EN_PF_YearY!D20="Year 1",EN_PF_YearY!J14 =1), J63=""),"",AND(OR(EN_PF_YearZ!D20="Year 1",EN_PF_YearZ!J14 =1), J63=""),"")</f>
        <v/>
      </c>
      <c r="Q89" s="117" t="str" cm="1">
        <f t="array" ref="Q89">_xlfn.IFS(AND(OR(EN_PF_Year3!D20="Year 2",EN_PF_Year3!J14 =2),K63&lt;&gt;""),EN_PF_Year3!L48,AND(OR(EN_PF_YearY!D20="Year 2",EN_PF_YearY!J14 =2), K63&lt;&gt;""),EN_PF_YearY!L48,AND(OR(EN_PF_YearZ!D20="Year 2",EN_PF_YearZ!J14 =2), K63&lt;&gt;""),EN_PF_YearZ!L48,AND(EN_PF_Year3!D20&lt;&gt;"Year 2",EN_PF_Year3!J14 &lt;&gt;2,EN_PF_YearY!D20&lt;&gt;"Year 2",EN_PF_YearY!J14 &lt;&gt;2,EN_PF_YearZ!D20&lt;&gt;"Year 2",EN_PF_YearZ!J14 &lt;&gt;2),"",AND(OR(EN_PF_Year3!D20="Year 2",EN_PF_Year3!J14 =2),K63=""),"",AND(OR(EN_PF_YearY!D20="Year 2",EN_PF_YearY!J14 =2), K63=""),"",AND(OR(EN_PF_YearZ!D20="Year 2",EN_PF_YearZ!J14 =2), K63=""),"")</f>
        <v/>
      </c>
      <c r="R89" s="117" t="str" cm="1">
        <f t="array" ref="R89">_xlfn.IFS(AND(OR(EN_PF_Year3!D20="Year 3",EN_PF_Year3!J14 =3),L63&lt;&gt;""),EN_PF_Year3!L48,AND(OR(EN_PF_YearY!D20="Year 3",EN_PF_YearY!J14 =3), L63&lt;&gt;""),EN_PF_YearY!L48,AND(OR(EN_PF_YearZ!D20="Year 3",EN_PF_YearZ!J14 =3), L63&lt;&gt;""),EN_PF_YearZ!L48,AND(EN_PF_Year3!D20&lt;&gt;"Year 3",EN_PF_Year3!J14 &lt;&gt;3,EN_PF_YearY!D20&lt;&gt;"Year 3",EN_PF_YearY!J14 &lt;&gt;3,EN_PF_YearZ!D20&lt;&gt;"Year 3",EN_PF_YearZ!J14 &lt;&gt;3),"",AND(OR(EN_PF_Year3!D20="Year 3",EN_PF_Year3!J14 =3),L63=""),"",AND(OR(EN_PF_YearY!D20="Year 3",EN_PF_YearY!J14 =3), L63=""),"",AND(OR(EN_PF_YearZ!D20="Year 3",EN_PF_YearZ!J14 =3), L63=""),"")</f>
        <v/>
      </c>
      <c r="S89" s="17"/>
      <c r="T89" s="17"/>
      <c r="U89" s="17"/>
      <c r="V89" s="17"/>
    </row>
    <row r="90" spans="1:30" ht="69.599999999999994" customHeight="1" x14ac:dyDescent="0.2">
      <c r="A90" s="17"/>
      <c r="B90" s="340"/>
      <c r="C90" s="341"/>
      <c r="D90" s="285" t="s">
        <v>367</v>
      </c>
      <c r="E90" s="286"/>
      <c r="F90" s="287"/>
      <c r="G90" s="299" t="s">
        <v>369</v>
      </c>
      <c r="H90" s="300"/>
      <c r="I90" s="300"/>
      <c r="J90" s="17"/>
      <c r="K90" s="298"/>
      <c r="L90" s="97" t="str" cm="1">
        <f t="array" ref="L90">_xlfn.IFS(OR(P90=3,P90=2),"Fully Compliant",P90= 1,"Compliant with issues",P90 = 0,"Non-compliant",P90 = "","")</f>
        <v/>
      </c>
      <c r="M90" s="97" t="str" cm="1">
        <f t="array" ref="M90">_xlfn.IFS(OR(Q90=3,Q90=2),"Fully Compliant",Q90= 1,"Compliant with issues",Q90 = 0,"Non-compliant",Q90 = "","")</f>
        <v/>
      </c>
      <c r="N90" s="77" t="str" cm="1">
        <f t="array" ref="N90">_xlfn.IFS(OR(R90=3,R90=2),"Fully Compliant",R90= 1,"Compliant with issues",R90 = 0,"Non-compliant",R90 = "","")</f>
        <v/>
      </c>
      <c r="O90" s="17"/>
      <c r="P90" s="117" t="str" cm="1">
        <f t="array" ref="P90">_xlfn.IFS(AND(OR(EN_PF_Year3!D20="Year 1",EN_PF_Year3!J14 =1),J63&lt;&gt;""),EN_PF_Year3!L50,AND(OR(EN_PF_YearY!D20="Year 1",EN_PF_YearY!J14 =1), J63&lt;&gt;""),EN_PF_YearY!L50,AND(OR(EN_PF_YearZ!D20="Year 1",EN_PF_YearZ!J14 =1), J63&lt;&gt;""),EN_PF_YearZ!L50,AND(EN_PF_Year3!D20&lt;&gt;"Year 1",EN_PF_Year3!J14 &lt;&gt;1,EN_PF_YearY!D20&lt;&gt;"Year 1",EN_PF_YearY!J14 &lt;&gt;1,EN_PF_YearZ!D20&lt;&gt;"Year 1",EN_PF_YearZ!J14 &lt;&gt;1),"",AND(OR(EN_PF_Year3!D20="Year 1",EN_PF_Year3!J14 =1),J63=""),"",AND(OR(EN_PF_YearY!D20="Year 1",EN_PF_YearY!J14 =1), J63=""),"",AND(OR(EN_PF_YearZ!D20="Year 1",EN_PF_YearZ!J14 =1), J63=""),"")</f>
        <v/>
      </c>
      <c r="Q90" s="117" t="str" cm="1">
        <f t="array" ref="Q90">_xlfn.IFS(AND(OR(EN_PF_Year3!D20="Year 2",EN_PF_Year3!J14 =2),K63&lt;&gt;""),EN_PF_Year3!L50,AND(OR(EN_PF_YearY!D20="Year 2",EN_PF_YearY!J14 =2), K63&lt;&gt;""),EN_PF_YearY!L50,AND(OR(EN_PF_YearZ!D20="Year 2",EN_PF_YearZ!J14 =2), K63&lt;&gt;""),EN_PF_YearZ!L50,AND(EN_PF_Year3!D20&lt;&gt;"Year 2",EN_PF_Year3!J14 &lt;&gt;2,EN_PF_YearY!D20&lt;&gt;"Year 2",EN_PF_YearY!J14 &lt;&gt;2,EN_PF_YearZ!D20&lt;&gt;"Year 2",EN_PF_YearZ!J14 &lt;&gt;2),"",AND(OR(EN_PF_Year3!D20="Year 2",EN_PF_Year3!J14 =2),K63=""),"",AND(OR(EN_PF_YearY!D20="Year 2",EN_PF_YearY!J14 =2), K63=""),"",AND(OR(EN_PF_YearZ!D20="Year 2",EN_PF_YearZ!J14 =2), K63=""),"")</f>
        <v/>
      </c>
      <c r="R90" s="117" t="str" cm="1">
        <f t="array" ref="R90">_xlfn.IFS(AND(OR(EN_PF_Year3!D20="Year 3",EN_PF_Year3!J14 =3),L63&lt;&gt;""),EN_PF_Year3!L50,AND(OR(EN_PF_YearY!D20="Year 3",EN_PF_YearY!J14 =3), L63&lt;&gt;""),EN_PF_YearY!L50,AND(OR(EN_PF_YearZ!D20="Year 3",EN_PF_YearZ!J14 =3), L63&lt;&gt;""),EN_PF_YearZ!L50,AND(EN_PF_Year3!D20&lt;&gt;"Year 3",EN_PF_Year3!J14 &lt;&gt;3,EN_PF_YearY!D20&lt;&gt;"Year 3",EN_PF_YearY!J14 &lt;&gt;3,EN_PF_YearZ!D20&lt;&gt;"Year 3",EN_PF_YearZ!J14 &lt;&gt;3),"",AND(OR(EN_PF_Year3!D20="Year 3",EN_PF_Year3!J14 =3),L63=""),"",AND(OR(EN_PF_YearY!D20="Year 3",EN_PF_YearY!J14 =3), L63=""),"",AND(OR(EN_PF_YearZ!D20="Year 3",EN_PF_YearZ!J14 =3), L63=""),"")</f>
        <v/>
      </c>
      <c r="S90" s="17"/>
      <c r="T90" s="17"/>
      <c r="U90" s="17"/>
      <c r="V90" s="17"/>
    </row>
    <row r="91" spans="1:30" ht="15" customHeight="1" x14ac:dyDescent="0.2">
      <c r="A91" s="17"/>
      <c r="B91" s="17"/>
      <c r="C91" s="17"/>
      <c r="D91" s="17"/>
      <c r="E91" s="17"/>
      <c r="F91" s="17"/>
      <c r="G91" s="17"/>
      <c r="H91" s="17"/>
      <c r="I91" s="17"/>
      <c r="J91" s="17"/>
      <c r="K91" s="17"/>
      <c r="L91" s="17"/>
      <c r="M91" s="17"/>
      <c r="N91" s="99"/>
      <c r="O91" s="17"/>
      <c r="P91" s="17"/>
      <c r="Q91" s="17"/>
      <c r="R91" s="17"/>
      <c r="S91" s="17"/>
      <c r="T91" s="17"/>
      <c r="U91" s="17"/>
      <c r="V91" s="17"/>
    </row>
    <row r="92" spans="1:30" ht="15" x14ac:dyDescent="0.2">
      <c r="A92" s="17"/>
      <c r="B92" s="17"/>
      <c r="C92" s="17"/>
      <c r="D92" s="17"/>
      <c r="E92" s="17"/>
      <c r="F92" s="17"/>
      <c r="G92" s="17"/>
      <c r="H92" s="17"/>
      <c r="I92" s="17"/>
      <c r="J92" s="17"/>
      <c r="K92" s="17"/>
      <c r="L92" s="17"/>
      <c r="M92" s="17"/>
      <c r="N92" s="99"/>
      <c r="O92" s="17"/>
      <c r="P92" s="17"/>
      <c r="Q92" s="17"/>
      <c r="R92" s="17"/>
      <c r="S92" s="17"/>
      <c r="T92" s="17"/>
      <c r="U92" s="17"/>
      <c r="V92" s="17"/>
      <c r="AB92" s="66"/>
    </row>
    <row r="93" spans="1:30" ht="15" x14ac:dyDescent="0.2">
      <c r="A93" s="17"/>
      <c r="B93" s="17"/>
      <c r="C93" s="17"/>
      <c r="D93" s="17"/>
      <c r="E93" s="17"/>
      <c r="F93" s="17"/>
      <c r="G93" s="17"/>
      <c r="H93" s="17"/>
      <c r="I93" s="17"/>
      <c r="J93" s="17"/>
      <c r="K93" s="17"/>
      <c r="L93" s="17"/>
      <c r="M93" s="17"/>
      <c r="N93" s="99"/>
      <c r="O93" s="17"/>
      <c r="P93" s="17"/>
      <c r="Q93" s="17"/>
      <c r="R93" s="17"/>
      <c r="S93" s="17"/>
      <c r="T93" s="17"/>
      <c r="U93" s="17"/>
      <c r="V93" s="17"/>
      <c r="AB93" s="64">
        <v>0.25</v>
      </c>
      <c r="AC93" s="65">
        <v>0.57999999999999996</v>
      </c>
      <c r="AD93" s="65">
        <v>0.9</v>
      </c>
    </row>
    <row r="94" spans="1:30" ht="15" x14ac:dyDescent="0.2">
      <c r="A94" s="35"/>
      <c r="B94" s="35" t="str">
        <f>_xlfn.CONCAT(EN_PF_YearZ!M26, " - ", EN_PF_YearZ!M27,  " - ", EN_PF_YearZ!M28,  " - ",EN_PF_YearZ!M29,  " - ",EN_PF_YearZ!M30,  " - ",EN_PF_YearZ!M31,  " - ",EN_PF_YearZ!M32,  " - ",EN_PF_YearZ!M33)</f>
        <v xml:space="preserve"> -  -  -  -  -  -  - </v>
      </c>
      <c r="C94" s="17"/>
      <c r="D94" s="17"/>
      <c r="E94" s="17"/>
      <c r="F94" s="17"/>
      <c r="G94" s="17"/>
      <c r="H94" s="17"/>
      <c r="I94" s="17"/>
      <c r="J94" s="17"/>
      <c r="K94" s="17"/>
      <c r="L94" s="17"/>
      <c r="M94" s="17"/>
      <c r="N94" s="99"/>
      <c r="O94" s="17"/>
      <c r="P94" s="17"/>
      <c r="Q94" s="17"/>
      <c r="R94" s="17"/>
      <c r="S94" s="17"/>
      <c r="T94" s="17"/>
      <c r="U94" s="17"/>
      <c r="V94" s="17"/>
      <c r="AB94" s="66"/>
    </row>
    <row r="95" spans="1:30" ht="15" x14ac:dyDescent="0.2">
      <c r="A95" s="35"/>
      <c r="B95" s="35" t="str">
        <f>_xlfn.CONCAT(EN_PF_YearZ!M34,  " - ",EN_PF_YearZ!M35,  " - ",EN_PF_YearZ!M36," - ",EN_PF_YearZ!M37,  " - ",EN_PF_YearZ!M38,  " - ",EN_PF_YearZ!M39," - ",EN_PF_YearZ!M40,  " - ",EN_PF_YearZ!M41,  " - ",EN_PF_YearZ!M42)</f>
        <v xml:space="preserve"> -  -  -  -  -  -  -  - </v>
      </c>
      <c r="C95" s="17"/>
      <c r="D95" s="17"/>
      <c r="E95" s="17"/>
      <c r="F95" s="17"/>
      <c r="G95" s="17"/>
      <c r="H95" s="17"/>
      <c r="I95" s="17"/>
      <c r="J95" s="17"/>
      <c r="K95" s="17"/>
      <c r="L95" s="17"/>
      <c r="M95" s="17"/>
      <c r="N95" s="99"/>
      <c r="O95" s="17"/>
      <c r="P95" s="17"/>
      <c r="Q95" s="17"/>
      <c r="R95" s="17"/>
      <c r="S95" s="17"/>
      <c r="T95" s="17"/>
      <c r="U95" s="17"/>
      <c r="V95" s="17"/>
      <c r="AB95" s="66"/>
    </row>
    <row r="96" spans="1:30" x14ac:dyDescent="0.2">
      <c r="A96" s="209"/>
      <c r="B96" s="209" t="str">
        <f>_xlfn.CONCAT(EN_PF_YearZ!M43,  " - ",EN_PF_YearZ!M44,  " - ",EN_PF_YearZ!M45, " - ",EN_PF_YearZ!M46,  " - ",EN_PF_YearZ!M47)</f>
        <v xml:space="preserve"> -  -  -  - </v>
      </c>
    </row>
    <row r="97" spans="1:2" x14ac:dyDescent="0.2">
      <c r="A97" s="209"/>
      <c r="B97" s="209" t="str">
        <f>_xlfn.CONCAT(EN_PF_YearZ!M48,  " - ",EN_PF_YearZ!M49,  " - ",EN_PF_YearZ!M50, " - ",EN_PF_YearZ!M51,  " - ",EN_PF_YearZ!M52,  " - ",EN_PF_YearZ!M53, " - ",EN_PF_YearZ!M54,  " - ",EN_PF_YearZ!M55,  " - ",EN_PF_YearZ!M56)</f>
        <v xml:space="preserve"> -  -  -  -  -  -  -  - </v>
      </c>
    </row>
  </sheetData>
  <sheetProtection algorithmName="SHA-512" hashValue="PlwxUiVjhWfi/EnxV0yPaZOybdh3748iKas32XSEHkfIIi1tV5xzQUwEwSYjvFzkSZRrkdyaKUFTVATIIyoMeA==" saltValue="9uw19OdAOkK0pc2BXoNpiw==" spinCount="100000" sheet="1" objects="1" scenarios="1"/>
  <dataConsolidate/>
  <mergeCells count="135">
    <mergeCell ref="B39:C39"/>
    <mergeCell ref="D39:I39"/>
    <mergeCell ref="K42:O42"/>
    <mergeCell ref="I29:N29"/>
    <mergeCell ref="I30:N30"/>
    <mergeCell ref="I28:N28"/>
    <mergeCell ref="C35:D35"/>
    <mergeCell ref="C36:C37"/>
    <mergeCell ref="D36:D37"/>
    <mergeCell ref="E36:E37"/>
    <mergeCell ref="F36:F37"/>
    <mergeCell ref="G36:G37"/>
    <mergeCell ref="E34:G34"/>
    <mergeCell ref="J39:O39"/>
    <mergeCell ref="J40:J42"/>
    <mergeCell ref="H36:H37"/>
    <mergeCell ref="A8:C8"/>
    <mergeCell ref="K10:N10"/>
    <mergeCell ref="K72:K77"/>
    <mergeCell ref="G75:I75"/>
    <mergeCell ref="G76:I76"/>
    <mergeCell ref="G77:I77"/>
    <mergeCell ref="D71:F71"/>
    <mergeCell ref="J63:J66"/>
    <mergeCell ref="G72:I72"/>
    <mergeCell ref="G73:I73"/>
    <mergeCell ref="G74:I74"/>
    <mergeCell ref="D76:F76"/>
    <mergeCell ref="D77:F77"/>
    <mergeCell ref="I23:O23"/>
    <mergeCell ref="J12:J15"/>
    <mergeCell ref="K12:K15"/>
    <mergeCell ref="L12:L15"/>
    <mergeCell ref="M12:M15"/>
    <mergeCell ref="B59:B62"/>
    <mergeCell ref="I63:I66"/>
    <mergeCell ref="G71:I71"/>
    <mergeCell ref="L51:L54"/>
    <mergeCell ref="L55:L58"/>
    <mergeCell ref="L59:L62"/>
    <mergeCell ref="K85:K90"/>
    <mergeCell ref="G85:I85"/>
    <mergeCell ref="G86:I86"/>
    <mergeCell ref="G87:I87"/>
    <mergeCell ref="G88:I88"/>
    <mergeCell ref="G89:I89"/>
    <mergeCell ref="G80:I80"/>
    <mergeCell ref="G81:I81"/>
    <mergeCell ref="G82:I82"/>
    <mergeCell ref="G83:I83"/>
    <mergeCell ref="G84:I84"/>
    <mergeCell ref="B85:B90"/>
    <mergeCell ref="C85:C90"/>
    <mergeCell ref="B81:B84"/>
    <mergeCell ref="C81:C84"/>
    <mergeCell ref="G90:I90"/>
    <mergeCell ref="B72:B77"/>
    <mergeCell ref="B78:B80"/>
    <mergeCell ref="C78:C80"/>
    <mergeCell ref="D78:F78"/>
    <mergeCell ref="D79:F79"/>
    <mergeCell ref="D80:F80"/>
    <mergeCell ref="C72:C77"/>
    <mergeCell ref="D81:F81"/>
    <mergeCell ref="D72:F72"/>
    <mergeCell ref="D73:F73"/>
    <mergeCell ref="D74:F74"/>
    <mergeCell ref="D75:F75"/>
    <mergeCell ref="D90:F90"/>
    <mergeCell ref="D89:F89"/>
    <mergeCell ref="D88:F88"/>
    <mergeCell ref="D87:F87"/>
    <mergeCell ref="D86:F86"/>
    <mergeCell ref="D85:F85"/>
    <mergeCell ref="D84:F84"/>
    <mergeCell ref="L63:L66"/>
    <mergeCell ref="K59:K62"/>
    <mergeCell ref="K63:K66"/>
    <mergeCell ref="K70:N70"/>
    <mergeCell ref="A68:V68"/>
    <mergeCell ref="B63:B66"/>
    <mergeCell ref="I51:I54"/>
    <mergeCell ref="I55:I58"/>
    <mergeCell ref="K51:K54"/>
    <mergeCell ref="K55:K58"/>
    <mergeCell ref="J59:J62"/>
    <mergeCell ref="I59:I62"/>
    <mergeCell ref="C4:F4"/>
    <mergeCell ref="B55:B58"/>
    <mergeCell ref="E45:I45"/>
    <mergeCell ref="B40:B42"/>
    <mergeCell ref="B43:B45"/>
    <mergeCell ref="D43:D45"/>
    <mergeCell ref="J51:J54"/>
    <mergeCell ref="J55:J58"/>
    <mergeCell ref="E40:I40"/>
    <mergeCell ref="E41:I41"/>
    <mergeCell ref="E42:I42"/>
    <mergeCell ref="E43:I43"/>
    <mergeCell ref="E44:I44"/>
    <mergeCell ref="D49:G49"/>
    <mergeCell ref="B51:B54"/>
    <mergeCell ref="A47:V47"/>
    <mergeCell ref="I49:L49"/>
    <mergeCell ref="K43:O43"/>
    <mergeCell ref="K44:O44"/>
    <mergeCell ref="K45:O45"/>
    <mergeCell ref="D40:D42"/>
    <mergeCell ref="K40:O40"/>
    <mergeCell ref="K41:O41"/>
    <mergeCell ref="I26:M26"/>
    <mergeCell ref="D83:F83"/>
    <mergeCell ref="D82:F82"/>
    <mergeCell ref="N12:N15"/>
    <mergeCell ref="M18:M19"/>
    <mergeCell ref="N18:N19"/>
    <mergeCell ref="K20:K21"/>
    <mergeCell ref="L20:L21"/>
    <mergeCell ref="M20:M21"/>
    <mergeCell ref="N20:N21"/>
    <mergeCell ref="I18:I19"/>
    <mergeCell ref="I20:I21"/>
    <mergeCell ref="J20:J21"/>
    <mergeCell ref="J18:J19"/>
    <mergeCell ref="K18:K19"/>
    <mergeCell ref="L18:L19"/>
    <mergeCell ref="I17:J17"/>
    <mergeCell ref="K78:K80"/>
    <mergeCell ref="K81:K84"/>
    <mergeCell ref="G78:I78"/>
    <mergeCell ref="G79:I79"/>
    <mergeCell ref="J43:J45"/>
    <mergeCell ref="I31:N31"/>
    <mergeCell ref="I32:N32"/>
    <mergeCell ref="I25:M25"/>
  </mergeCells>
  <phoneticPr fontId="22" type="noConversion"/>
  <conditionalFormatting sqref="B40:B42">
    <cfRule type="expression" dxfId="554" priority="418">
      <formula>$B$40="Operations"</formula>
    </cfRule>
    <cfRule type="expression" dxfId="553" priority="419">
      <formula>$B$40="Positioning"</formula>
    </cfRule>
    <cfRule type="expression" dxfId="552" priority="420">
      <formula>$B$40="Engagement"</formula>
    </cfRule>
    <cfRule type="expression" dxfId="551" priority="421">
      <formula>$B$40="Oversight"</formula>
    </cfRule>
  </conditionalFormatting>
  <conditionalFormatting sqref="B43:B45">
    <cfRule type="expression" dxfId="550" priority="414">
      <formula>$B$43="Operations"</formula>
    </cfRule>
    <cfRule type="expression" dxfId="549" priority="415">
      <formula>$B$43="Positioning"</formula>
    </cfRule>
    <cfRule type="expression" dxfId="548" priority="416">
      <formula>$B$43="Engagement"</formula>
    </cfRule>
    <cfRule type="expression" dxfId="547" priority="417">
      <formula>$B$43="Oversight"</formula>
    </cfRule>
  </conditionalFormatting>
  <conditionalFormatting sqref="D40:D42">
    <cfRule type="expression" dxfId="546" priority="410">
      <formula>$D$40="Operations"</formula>
    </cfRule>
    <cfRule type="expression" dxfId="545" priority="411">
      <formula>$D$40="Positioning"</formula>
    </cfRule>
    <cfRule type="expression" dxfId="544" priority="412">
      <formula>$D$40="Engagement"</formula>
    </cfRule>
    <cfRule type="expression" dxfId="543" priority="413">
      <formula>$D$40="Oversight"</formula>
    </cfRule>
  </conditionalFormatting>
  <conditionalFormatting sqref="D43:D45">
    <cfRule type="expression" dxfId="542" priority="406">
      <formula>$D$43="Operations"</formula>
    </cfRule>
    <cfRule type="expression" dxfId="541" priority="407">
      <formula>$D$43="Positioning"</formula>
    </cfRule>
    <cfRule type="expression" dxfId="540" priority="408">
      <formula>$D$43="Engagement"</formula>
    </cfRule>
    <cfRule type="expression" dxfId="539" priority="409">
      <formula>$D$43="Oversight"</formula>
    </cfRule>
  </conditionalFormatting>
  <conditionalFormatting sqref="J40:J42">
    <cfRule type="expression" dxfId="538" priority="402">
      <formula>$J$40="Operations"</formula>
    </cfRule>
    <cfRule type="expression" dxfId="537" priority="403">
      <formula>$J$40="Positioning"</formula>
    </cfRule>
    <cfRule type="expression" dxfId="536" priority="404">
      <formula>$J$40="Engagement"</formula>
    </cfRule>
    <cfRule type="expression" dxfId="535" priority="405">
      <formula>$J$40="Oversight"</formula>
    </cfRule>
  </conditionalFormatting>
  <conditionalFormatting sqref="J43:J45">
    <cfRule type="expression" dxfId="534" priority="398">
      <formula>$J$43="Operations"</formula>
    </cfRule>
    <cfRule type="expression" dxfId="533" priority="399">
      <formula>$J$43="Positioning"</formula>
    </cfRule>
    <cfRule type="expression" dxfId="532" priority="400">
      <formula>$J$43="Engagement"</formula>
    </cfRule>
    <cfRule type="expression" dxfId="531" priority="401">
      <formula>$J$43="Oversight"</formula>
    </cfRule>
  </conditionalFormatting>
  <conditionalFormatting sqref="I23:O23">
    <cfRule type="expression" dxfId="530" priority="274">
      <formula>$I$23=""</formula>
    </cfRule>
  </conditionalFormatting>
  <conditionalFormatting sqref="I28:N28">
    <cfRule type="expression" dxfId="529" priority="115">
      <formula>OR(AND(OR($A$8="The Coordinating mechanism did not complete a separate baseline at the beginning of this performance period",AND($A$8=_xlfn.CONCAT("Evaluation ",$C$6," not applicable in this performance period"),$D$12=""),AND($A$8=_xlfn.CONCAT($C$6," results will be displayed after Global Fund's validation"),$D$12="")), OR(AND(OR($N$8="",AND($C$6&lt;&gt;"Qualitative Baseline",OR($E$12&lt;&gt;"",$C$6="Qualitative Baseline"))),OR($N$8="",$E$12="",$C$6="Qualitative Baseline")), AND($N$8&lt;&gt;"",OR(OR($C$6="Qualitative Baseline",AND($E$12="",$C$6&lt;&gt;"Qualitative Baseline")),AND($E$12&lt;&gt;"",$C$6&lt;&gt;"Qualitative Baseline"))))),AND(OR(AND($A$8=_xlfn.CONCAT("Evaluation ",$C$6," not applicable in this performance period"),$D$12&lt;&gt;""),AND($A$8=_xlfn.CONCAT($C$6," results will be displayed after Global Fund's validation"),$D$12&lt;&gt;"")),AND($N$8&lt;&gt;"",OR(OR($C$6="Qualitative Baseline",AND($E$12="",$C$6&lt;&gt;"Qualitative Baseline")),AND($E$12&lt;&gt;"",$C$6&lt;&gt;"Qualitative Baseline")))))</formula>
    </cfRule>
    <cfRule type="expression" dxfId="528" priority="117">
      <formula>AND(OR(AND($A$8=_xlfn.CONCAT("Evaluation ", $C$6, " not applicable in this performance period"), $D$12&lt;&gt;""), AND($A$8=_xlfn.CONCAT($C$6," results will be displayed after Global Fund's validation"), $D$12&lt;&gt;"")), AND(OR($N$8="", AND($C$6&lt;&gt;"Qualitative Baseline", OR($E$12&lt;&gt;"", $C$6="Qualitative Baseline"))), OR($N$8="", $E$12="", $C$6="Qualitative Baseline")))</formula>
    </cfRule>
  </conditionalFormatting>
  <conditionalFormatting sqref="I30:N30">
    <cfRule type="expression" dxfId="527" priority="213">
      <formula>AND($N$8&lt;&gt;"", OR($C$6="Qualitative Baseline", AND($E$12="", $F$12=""), AND($E$12="", $F$12&lt;&gt;"", $C$6&lt;&gt;"Year 2",$C$6&lt;&gt;"Year 3")))</formula>
    </cfRule>
    <cfRule type="expression" dxfId="526" priority="214">
      <formula>AND($N$8="", OR(AND($F$12&lt;&gt;"", $E$12="", AND($C$6&lt;&gt;"Year 2", $C$6&lt;&gt;"Year 3")), AND($E$12="", $F$12=""), AND($E$12&lt;&gt;"", $C$6="Qualitative Baseline")))</formula>
    </cfRule>
    <cfRule type="expression" dxfId="525" priority="215">
      <formula>AND($E$12="", $F$12&lt;&gt;"",OR($C$6="Year 2",$C$6="Year 3"), $N$8&lt;&gt;"")</formula>
    </cfRule>
    <cfRule type="expression" dxfId="524" priority="216">
      <formula>AND($E$12="", $F$12&lt;&gt;"",OR($C$6="Year 2", $C$6="Year 3"), $N$8="")</formula>
    </cfRule>
  </conditionalFormatting>
  <conditionalFormatting sqref="I29:N29">
    <cfRule type="expression" dxfId="523" priority="868">
      <formula>AND($N$8&lt;&gt;"", OR($C$6="Qualitative Baseline", AND($E$12="", $C$6&lt;&gt;"Qualitative Baseline")), OR(OR(AND($A$8=_xlfn.CONCAT("Evaluation ", $C$6, " not applicable in this performance period"), $D$12&lt;&gt;""), AND($A$8=_xlfn.CONCAT($C$6," results will be displayed after Global Fund's validation"), $D$12&lt;&gt;"")), OR($A$8="The Coordinating mechanism did not complete a separate baseline at the beginning of this performance period", AND($A$8=_xlfn.CONCAT("Evaluation ", $C$6, " not applicable in this performance period"), $D$12=""), AND($A$8=_xlfn.CONCAT($C$6," results will be displayed after Global Fund's validation"), $D$12=""))))</formula>
    </cfRule>
    <cfRule type="expression" dxfId="522" priority="869">
      <formula>AND(AND($N$8&lt;&gt;"",$E$12&lt;&gt;"",$C$6&lt;&gt;"Qualitative Baseline"),OR(OR(AND($A$8=_xlfn.CONCAT("Evaluation ",$C$6," not applicable in this performance period"),$D$12&lt;&gt;""),AND($A$8=_xlfn.CONCAT($C$6," results will be displayed after Global Fund's validation"),$D$12&lt;&gt;"")),OR($A$8="The Coordinating mechanism did not complete a separate baseline at the beginning of this performance period",AND($A$8=_xlfn.CONCAT("Evaluation ",$C$6," not applicable in this performance period"),$D$12=""),AND($A$8=_xlfn.CONCAT($C$6," results will be displayed after Global Fund's validation"),$D$12=""))))</formula>
    </cfRule>
    <cfRule type="expression" dxfId="521" priority="870">
      <formula>AND($N$8&lt;&gt;"", $A$8&lt;&gt;"The Coordinating mechanism did not complete a separate baseline at the beginning of this performance period", OR($C$6="Qualitative Baseline", AND($E$12="", $C$6&lt;&gt;"Qualitative Baseline")))</formula>
    </cfRule>
    <cfRule type="expression" dxfId="520" priority="871">
      <formula>AND($A$8&lt;&gt;"The Coordinating mechanism did not complete a separate baseline at the beginning of this performance period", $N$8&lt;&gt;"", $E$12&lt;&gt;"", $C$6&lt;&gt;"Qualitative Baseline")</formula>
    </cfRule>
  </conditionalFormatting>
  <conditionalFormatting sqref="I31:N31">
    <cfRule type="expression" dxfId="519" priority="185">
      <formula>OR(AND($E$12&lt;&gt;"", $C$6="Year 1"), AND($F$12="", $E$12&lt;&gt;"", OR($C$6="Year 2", AND($G$12="", $C$6="Year 3"))))</formula>
    </cfRule>
    <cfRule type="expression" dxfId="518" priority="186">
      <formula>AND($E$12="", $F$12="",$G$12&lt;&gt;"",$C$6="Year 3")</formula>
    </cfRule>
    <cfRule type="expression" dxfId="517" priority="187">
      <formula>AND($E$12&lt;&gt;"", $F$12="", $G$12&lt;&gt;"", $C$6="Year 3")</formula>
    </cfRule>
  </conditionalFormatting>
  <conditionalFormatting sqref="I32:N32">
    <cfRule type="expression" dxfId="516" priority="182">
      <formula>OR($C$6="Qualitative Baseline", AND($F$12="", $G$12=""), AND($F$12="", $G$12&lt;&gt;"", $C$6&lt;&gt;"Year 3"), AND($F$12&lt;&gt;"", $C$6&lt;&gt;"Year 3",  $C$6&lt;&gt;"Year 2"))</formula>
    </cfRule>
    <cfRule type="expression" dxfId="515" priority="183">
      <formula>OR(AND($F$12&lt;&gt;"", $C$6="Year 2"), AND($G$12="", $F$12&lt;&gt;"", $C$6="Year 3"))</formula>
    </cfRule>
  </conditionalFormatting>
  <conditionalFormatting sqref="L71:L90 E50:E66 J50:J66 L17:L21 E17:E21 E11:E15 L11:L15">
    <cfRule type="expression" dxfId="514" priority="61">
      <formula>AND($N$8&lt;&gt;"", OR($C$6="Qualitative Baseline", AND($E$12="", $F$12=""), AND($E$12="", $F$12&lt;&gt;"", $C$6&lt;&gt;"Year 2",$C$6&lt;&gt;"Year 3")))</formula>
    </cfRule>
    <cfRule type="expression" dxfId="513" priority="162">
      <formula>AND($E$12="", $F$12&lt;&gt;"",OR($C$6="Year 2", $C$6="Year 3"), $N$8="")</formula>
    </cfRule>
  </conditionalFormatting>
  <conditionalFormatting sqref="L71:L90 E50:E66 J50:J66 D39:I39 L17:L21 E17:E21 E11:E15 L11:L15 E40:I45 F35:F37">
    <cfRule type="expression" dxfId="512" priority="154">
      <formula>AND($E$12="", $F$12&lt;&gt;"",OR($C$6="Year 2",$C$6="Year 3"), $N$8&lt;&gt;"")</formula>
    </cfRule>
  </conditionalFormatting>
  <conditionalFormatting sqref="D40:D45">
    <cfRule type="expression" dxfId="511" priority="156">
      <formula>AND($E$12="", $F$12&lt;&gt;"",OR($C$6="Year 2",$C$6="Year 3"), $N$8&lt;&gt;"")</formula>
    </cfRule>
    <cfRule type="expression" dxfId="510" priority="157">
      <formula>AND(OR($C$6="Year 3", $C$6="Year 1",$C$6="Year 2", $C$6="Qualitative baseline"),$I$7&lt;&gt;"")</formula>
    </cfRule>
  </conditionalFormatting>
  <conditionalFormatting sqref="E40:I45">
    <cfRule type="expression" dxfId="509" priority="18">
      <formula>AND($N$8="", OR(AND($F$12&lt;&gt;"", $E$12="", AND($C$6&lt;&gt;"Year 2", $C$6&lt;&gt;"Year 3")), AND($E$12="", $F$12=""), AND($E$12&lt;&gt;"", $C$6="Qualitative Baseline")))</formula>
    </cfRule>
    <cfRule type="expression" dxfId="508" priority="101">
      <formula>AND($N$8="", $I$7="", $D$7="", $C$6="Qualitative Baseline")</formula>
    </cfRule>
  </conditionalFormatting>
  <conditionalFormatting sqref="K40:O45">
    <cfRule type="expression" dxfId="507" priority="23">
      <formula>AND(OR($I$8="Evaluation Year 2 not applicable in this performance period", $D$8="Evaluation Year 1 not applicable in this performance period", $C$6="Qualitative Baseline", AND($F$12="", $G$12&lt;&gt;"", $C$6&lt;&gt;"Year 3")), AND($D$7&lt;&gt;"", $I$7=""))</formula>
    </cfRule>
    <cfRule type="expression" dxfId="506" priority="58">
      <formula>OR(AND($E$12&lt;&gt;"", $C$6="Year 1"), AND($F$12="", $E$12&lt;&gt;"", OR($C$6="Year 2", AND($G$12="", $C$6="Year 3"))))</formula>
    </cfRule>
  </conditionalFormatting>
  <conditionalFormatting sqref="F11:F15 F17:F21 M11:M15 M17:M21 F50:F66 K50:K66 M71:M90">
    <cfRule type="expression" dxfId="505" priority="173">
      <formula>AND($E$12&lt;&gt;"", $F$12="", $G$12&lt;&gt;"", $C$6="Year 3")</formula>
    </cfRule>
  </conditionalFormatting>
  <conditionalFormatting sqref="F11:F15 F17:F21 M17:M21 M11:M15 F50:F66 K50:K66 M71:M90">
    <cfRule type="expression" dxfId="504" priority="81">
      <formula>AND($E$12="", $F$12="",$G$12&lt;&gt;"",$C$6="Year 3")</formula>
    </cfRule>
  </conditionalFormatting>
  <conditionalFormatting sqref="F11:F15 F17:F21 M11:M15 M17:M21 J39:O39 J40:J45 F50:F66 K50:K66 M71:M90 G35:G37">
    <cfRule type="expression" dxfId="503" priority="151">
      <formula>OR(AND($E$12&lt;&gt;"", $C$6="Year 1"), AND($F$12="", $E$12&lt;&gt;"", OR($C$6="Year 2", AND($G$12="", $C$6="Year 3"))))</formula>
    </cfRule>
  </conditionalFormatting>
  <conditionalFormatting sqref="D11:D15 D17:D21 D50:D66">
    <cfRule type="expression" dxfId="502" priority="128">
      <formula>AND($N$8&lt;&gt;"", OR($C$6="Qualitative Baseline", AND($E$12="", $C$6&lt;&gt;"Qualitative Baseline")))</formula>
    </cfRule>
    <cfRule type="expression" dxfId="501" priority="129">
      <formula>AND($N$8&lt;&gt;"", $E$12&lt;&gt;"", $C$6&lt;&gt;"Qualitative Baseline")</formula>
    </cfRule>
  </conditionalFormatting>
  <conditionalFormatting sqref="I50:I66 K71:K90">
    <cfRule type="expression" dxfId="500" priority="126">
      <formula>AND($N$8&lt;&gt;"", OR($C$6="Qualitative Baseline", AND($E$12="", $C$6&lt;&gt;"Qualitative Baseline")))</formula>
    </cfRule>
    <cfRule type="expression" dxfId="499" priority="127">
      <formula>AND($N$8&lt;&gt;"", $E$12&lt;&gt;"", $C$6&lt;&gt;"Qualitative Baseline")</formula>
    </cfRule>
  </conditionalFormatting>
  <conditionalFormatting sqref="B40:B45">
    <cfRule type="expression" dxfId="498" priority="22">
      <formula>AND($I$7="", $D$7&lt;&gt;"", $C$6="Year 1")</formula>
    </cfRule>
    <cfRule type="expression" dxfId="497" priority="29">
      <formula>AND(OR($C$6="Qualitative Baseline", $C$6="Year 2", $C$6="Year 3"), $N$8="", $D$7&lt;&gt;"",$I$7="")</formula>
    </cfRule>
    <cfRule type="expression" dxfId="496" priority="35">
      <formula>AND($A$8&lt;&gt;"The Coordinating mechanism did not complete a separate baseline at the beginning of this performance period", $N$8&lt;&gt;"", $E$12&lt;&gt;"", $C$6&lt;&gt;"Qualitative Baseline")</formula>
    </cfRule>
  </conditionalFormatting>
  <conditionalFormatting sqref="J11:J15 I17:J17 J18:J21">
    <cfRule type="expression" dxfId="495" priority="95">
      <formula>AND(OR(AND($A$8=_xlfn.CONCAT("Evaluation ", $C$6, " not applicable in this performance period"), $D$12&lt;&gt;""), AND($A$8=_xlfn.CONCAT($C$6," results will be displayed after Global Fund's validation"), $D$12&lt;&gt;"")), AND(OR($N$8="", AND($C$6&lt;&gt;"Qualitative Baseline", OR($E$12&lt;&gt;"", $C$6="Qualitative Baseline"))), OR($N$8="", $E$12="", $C$6="Qualitative Baseline")))</formula>
    </cfRule>
  </conditionalFormatting>
  <conditionalFormatting sqref="I18:I21 C36:C37 I23:O23">
    <cfRule type="expression" dxfId="494" priority="123">
      <formula>OR(AND($D$12&lt;&gt;"",OR($A$8=_xlfn.CONCAT("Evaluation ",$C$6," not applicable in this performance period"),$A$8=_xlfn.CONCAT($C$6," results will be displayed after Global Fund's validation"))))</formula>
    </cfRule>
  </conditionalFormatting>
  <conditionalFormatting sqref="J11:J15 I17:J21 C35:D37 I23:O23">
    <cfRule type="expression" dxfId="493" priority="16">
      <formula>OR(AND(OR($A$8="The Coordinating mechanism did not complete a separate baseline at the beginning of this performance period",AND($A$8=_xlfn.CONCAT("Evaluation ",$C$6," not applicable in this performance period"),$D$12=""),AND($A$8=_xlfn.CONCAT($C$6," results will be displayed after Global Fund's validation"),$D$12="")), OR(AND(OR($N$8="",AND($C$6&lt;&gt;"Qualitative Baseline",OR($E$12&lt;&gt;"",$C$6="Qualitative Baseline"))),OR($N$8="",$E$12="",$C$6="Qualitative Baseline")), AND($N$8&lt;&gt;"",OR(OR($C$6="Qualitative Baseline",AND($E$12="",$C$6&lt;&gt;"Qualitative Baseline")),AND($E$12&lt;&gt;"",$C$6&lt;&gt;"Qualitative Baseline"))))),AND(OR(AND($A$8=_xlfn.CONCAT("Evaluation ",$C$6," not applicable in this performance period"),$D$12&lt;&gt;""),AND($A$8=_xlfn.CONCAT($C$6," results will be displayed after Global Fund's validation"),$D$12&lt;&gt;"")),AND($N$8&lt;&gt;"",OR(OR($C$6="Qualitative Baseline",AND($E$12="",$C$6&lt;&gt;"Qualitative Baseline")),AND($E$12&lt;&gt;"",$C$6&lt;&gt;"Qualitative Baseline")))))</formula>
    </cfRule>
  </conditionalFormatting>
  <conditionalFormatting sqref="B34:H37 B39:O45">
    <cfRule type="expression" dxfId="492" priority="2">
      <formula>OR($N$25="", $N$25="No", $A$8="The Coordinating mechanism did not complete a separate baseline at the beginning of this performance period", AND($A$8="Evaluation Year 2 not applicable in this performance period", $N$8&lt;&gt;""), AND($A$8="Evaluation Year 1 not applicable in this performance period", $N$8&lt;&gt;""))</formula>
    </cfRule>
  </conditionalFormatting>
  <conditionalFormatting sqref="B39:O45">
    <cfRule type="expression" dxfId="491" priority="3">
      <formula>OR($N$26="", $N$26="No interventions")</formula>
    </cfRule>
  </conditionalFormatting>
  <conditionalFormatting sqref="K11:K15 K17:K21 E35:E37">
    <cfRule type="expression" dxfId="490" priority="51">
      <formula>AND($N$8&lt;&gt;"", OR($C$6="Qualitative Baseline", AND($E$12="", $C$6&lt;&gt;"Qualitative Baseline")), OR(OR(AND($A$8=_xlfn.CONCAT("Evaluation ", $C$6, " not applicable in this performance period"), $D$12&lt;&gt;""), AND($A$8=_xlfn.CONCAT($C$6," results will be displayed after Global Fund's validation"), $D$12&lt;&gt;"")), OR($A$8="The Coordinating mechanism did not complete a separate baseline at the beginning of this performance period", AND($A$8=_xlfn.CONCAT("Evaluation ", $C$6, " not applicable in this performance period"), $D$12=""), AND($A$8=_xlfn.CONCAT($C$6," results will be displayed after Global Fund's validation"), $D$12=""))))</formula>
    </cfRule>
    <cfRule type="expression" dxfId="489" priority="100">
      <formula>AND(AND($N$8&lt;&gt;"",$E$12&lt;&gt;"",$C$6&lt;&gt;"Qualitative Baseline"),OR(OR(AND($A$8=_xlfn.CONCAT("Evaluation ",$C$6," not applicable in this performance period"),$D$12&lt;&gt;""),AND($A$8=_xlfn.CONCAT($C$6," results will be displayed after Global Fund's validation"),$D$12&lt;&gt;"")),OR($A$8="The Coordinating mechanism did not complete a separate baseline at the beginning of this performance period",AND($A$8=_xlfn.CONCAT("Evaluation ",$C$6," not applicable in this performance period"),$D$12=""),AND($A$8=_xlfn.CONCAT($C$6," results will be displayed after Global Fund's validation"),$D$12=""))))</formula>
    </cfRule>
    <cfRule type="expression" dxfId="488" priority="120">
      <formula>AND($A$8&lt;&gt;"The Coordinating mechanism did not complete a separate baseline at the beginning of this performance period", $N$8&lt;&gt;"", $E$12&lt;&gt;"", $C$6&lt;&gt;"Qualitative Baseline")</formula>
    </cfRule>
  </conditionalFormatting>
  <conditionalFormatting sqref="E35:E37">
    <cfRule type="expression" dxfId="487" priority="34">
      <formula>AND($N$8="", $I$7&lt;&gt;"", $C$6="Year 3")</formula>
    </cfRule>
    <cfRule type="expression" dxfId="486" priority="39">
      <formula>AND(OR($C$6="Qualitative Baseline", $C$6="Year 2", $C$6="Year 3"), $N$8="", $D$7&lt;&gt;"",$I$7="")</formula>
    </cfRule>
    <cfRule type="expression" dxfId="485" priority="94">
      <formula>AND(OR($C$6="Qualitative Baseline", $C$6="Year 3", $C$6="Year 2"), $D$7&lt;&gt;"")</formula>
    </cfRule>
  </conditionalFormatting>
  <conditionalFormatting sqref="K11:K15 K17:K21">
    <cfRule type="expression" dxfId="484" priority="98">
      <formula>AND($N$8&lt;&gt;"", $A$8&lt;&gt;"The Coordinating mechanism did not complete a separate baseline at the beginning of this performance period", OR($C$6="Qualitative Baseline", AND($E$12="", $C$6&lt;&gt;"Qualitative Baseline")))</formula>
    </cfRule>
  </conditionalFormatting>
  <conditionalFormatting sqref="C35:D35 D36:D37">
    <cfRule type="expression" dxfId="483" priority="92">
      <formula>AND(OR(AND($A$8=_xlfn.CONCAT("Evaluation ", $C$6, " not applicable in this performance period"), $D$12&lt;&gt;""), AND($A$8=_xlfn.CONCAT($C$6," results will be displayed after Global Fund's validation"), $D$12&lt;&gt;"")), AND(OR($N$8="", AND($C$6&lt;&gt;"Qualitative Baseline", OR($E$12&lt;&gt;"", $C$6="Qualitative Baseline"))), OR($N$8="", $E$12="", $C$6="Qualitative Baseline")), $D$7&lt;&gt;"")</formula>
    </cfRule>
    <cfRule type="expression" dxfId="482" priority="116">
      <formula>AND(OR(AND($A$8=_xlfn.CONCAT("Evaluation ", $C$6, " not applicable in this performance period"), $D$12&lt;&gt;""), AND($A$8=_xlfn.CONCAT($C$6," results will be displayed after Global Fund's validation"), $D$12&lt;&gt;"")), AND(OR($N$8="", AND($C$6&lt;&gt;"Qualitative Baseline", OR($E$12&lt;&gt;"", $C$6="Qualitative Baseline"))), OR($N$8="", $E$12="", $C$6="Qualitative Baseline")), $D$7="")</formula>
    </cfRule>
  </conditionalFormatting>
  <conditionalFormatting sqref="F35:F37 D39 I39 D40:D45 E40:I45">
    <cfRule type="expression" dxfId="481" priority="50">
      <formula>AND($N$8&lt;&gt;"", $I$7&lt;&gt;"",OR($C$6="Year 2", $C$6="Year 3",$C$6="Year 1"))</formula>
    </cfRule>
  </conditionalFormatting>
  <conditionalFormatting sqref="H35:H37">
    <cfRule type="expression" dxfId="480" priority="45">
      <formula>AND(OR($C$6="Year 1", $C$6="Year 2", $C$6="Qualitative baseline"), $I$7&lt;&gt;"", $N$8="")</formula>
    </cfRule>
    <cfRule type="expression" dxfId="479" priority="64">
      <formula>AND(OR($C$6="Qualitative Baseline", AND($F$12="", $G$12=""), AND($F$12="", $G$12&lt;&gt;"", $C$6&lt;&gt;"Year 3"), AND($F$12&lt;&gt;"", $C$6&lt;&gt;"Year 3",  $C$6&lt;&gt;"Year 2")))</formula>
    </cfRule>
  </conditionalFormatting>
  <conditionalFormatting sqref="G11:G15 G17:G21 N11:N15 N17:N21 G50:G66 L50:L66 N71:N90 H35:H37">
    <cfRule type="expression" dxfId="478" priority="224">
      <formula>OR(AND($F$12&lt;&gt;"", $C$6="Year 2"), AND($G$12="", $F$12&lt;&gt;"", $C$6="Year 3"))</formula>
    </cfRule>
  </conditionalFormatting>
  <conditionalFormatting sqref="G35:G37">
    <cfRule type="expression" dxfId="477" priority="68">
      <formula>AND($C$6="Year 3", $I$7&lt;&gt;"", $N$8&lt;&gt;"")</formula>
    </cfRule>
  </conditionalFormatting>
  <conditionalFormatting sqref="G11:G15 G17:G21 N11:N15 N17:N21 G50:G66 L50:L66 N71:N90">
    <cfRule type="expression" dxfId="476" priority="223">
      <formula>OR($C$6="Qualitative Baseline", AND($F$12="", $G$12=""), AND($F$12="", $G$12&lt;&gt;"", $C$6&lt;&gt;"Year 3"), AND($F$12&lt;&gt;"", $C$6&lt;&gt;"Year 3",  $C$6&lt;&gt;"Year 2"))</formula>
    </cfRule>
  </conditionalFormatting>
  <conditionalFormatting sqref="B39:C45">
    <cfRule type="expression" dxfId="475" priority="21">
      <formula>AND($N$8="", $I$7&lt;&gt;"", $C$6="Year 3")</formula>
    </cfRule>
  </conditionalFormatting>
  <conditionalFormatting sqref="B39:C39 C40:C45">
    <cfRule type="expression" dxfId="474" priority="30">
      <formula>AND(OR($C$6="Qualitative Baseline", $C$6="Year 2", $C$6="Year 3"), $N$8="", $D$7&lt;&gt;"",$I$7="")</formula>
    </cfRule>
    <cfRule type="expression" dxfId="473" priority="99">
      <formula>AND($A$8&lt;&gt;"The Coordinating mechanism did not complete a separate baseline at the beginning of this performance period", $N$8&lt;&gt;"", $E$12&lt;&gt;"", $C$6&lt;&gt;"Qualitative Baseline")</formula>
    </cfRule>
  </conditionalFormatting>
  <conditionalFormatting sqref="E35:E37 B39:C39 C40:C45">
    <cfRule type="expression" dxfId="472" priority="33">
      <formula>AND($I$7="", $D$7&lt;&gt;"", $C$6="Year 1")</formula>
    </cfRule>
  </conditionalFormatting>
  <conditionalFormatting sqref="B39:C45">
    <cfRule type="expression" dxfId="471" priority="52">
      <formula>AND(OR($C$6="Qualitative Baseline", $C$6="Year 3", $C$6="Year 2"), $D$7&lt;&gt;"")</formula>
    </cfRule>
  </conditionalFormatting>
  <conditionalFormatting sqref="F35:F37 D39:I39 E40:I45">
    <cfRule type="expression" dxfId="470" priority="158">
      <formula>AND(OR($C$6="Year 3", $C$6="Year 1",$C$6="Year 2", $C$6="Qualitative baseline"),$I$7&lt;&gt;"")</formula>
    </cfRule>
  </conditionalFormatting>
  <conditionalFormatting sqref="F35:F37 D39:I39 D40:D45">
    <cfRule type="expression" dxfId="469" priority="62">
      <formula>AND($N$8="", $I$7="", $D$7="", $C$6="Qualitative Baseline")</formula>
    </cfRule>
  </conditionalFormatting>
  <conditionalFormatting sqref="E35:E37 B39:C45">
    <cfRule type="expression" dxfId="468" priority="31">
      <formula>AND($I$7&lt;&gt;"", OR(AND($N$8&lt;&gt;"", OR($C$6="Qualitative Baseline", $C$6="Year 1", $C$6="Year 2",)), AND($N$8="", OR($C$6="Year 1", $C$6="Year 2", $C$6="Year 3"))))</formula>
    </cfRule>
  </conditionalFormatting>
  <conditionalFormatting sqref="G35:G37 J39:O39 J40:J45">
    <cfRule type="expression" dxfId="467" priority="32">
      <formula>AND(OR($I$8="Evaluation Year 2 not applicable in this performance period", $D$8="Evaluation Year 1 not applicable in this performance period", $C$6="Qualitative Baseline", AND($F$12="", $G$12&lt;&gt;"", $C$6&lt;&gt;"Year 3")), AND($D$7&lt;&gt;"", $I$7=""))</formula>
    </cfRule>
  </conditionalFormatting>
  <conditionalFormatting sqref="J39:O45">
    <cfRule type="expression" dxfId="466" priority="63">
      <formula>AND($C$6="Year 3", $I$7&lt;&gt;"", $N$8&lt;&gt;"")</formula>
    </cfRule>
  </conditionalFormatting>
  <conditionalFormatting sqref="F12:F15 F18:F21 F17 F11 M11:M15 M17:M21 I31:N31 G35 G36:G37 J39:O39 J40:J45 K40:O45 F50:F66 K50:K66 M71:M90">
    <cfRule type="expression" dxfId="465" priority="17">
      <formula>AND($E$12&lt;&gt;"", $F$12="", $G$12&lt;&gt;"")</formula>
    </cfRule>
  </conditionalFormatting>
  <conditionalFormatting sqref="L71:L90 E50:E66 J50:J66 L17:L21 E17:E21 E11:E15 L11:L15 F35 F36:F37 D39:I39 D40:D45">
    <cfRule type="expression" dxfId="464" priority="87">
      <formula>AND($N$8="", OR(AND($F$12&lt;&gt;"", $E$12="", AND($C$6&lt;&gt;"Year 2", $C$6&lt;&gt;"Year 3")), AND($E$12="", $F$12=""), AND($E$12&lt;&gt;"", $C$6="Qualitative Baseline")))</formula>
    </cfRule>
  </conditionalFormatting>
  <conditionalFormatting sqref="J18:J19">
    <cfRule type="expression" dxfId="463" priority="124">
      <formula>$J$18="To be completed"</formula>
    </cfRule>
  </conditionalFormatting>
  <conditionalFormatting sqref="M11:M15 F11:F15 F17:F21 F50:F66 K50:K66 M71:M90 M17:M21 I31:N31 G35:G37 J39:O39 J40:J45 K40:O45">
    <cfRule type="expression" dxfId="462" priority="24">
      <formula>OR($I$8="Evaluation Year 2 not applicable in this performance period",$D$8="Evaluation Year 1 not applicable in this performance period", $A$8="Year 1 results will be displayed after Global Fund's validation", AND($A$8="Year 2 results will be displayed after Global Fund's validation", OR($D$7&lt;&gt;"", $E$12="")), $C$6="Qualitative Baseline",AND($F$12="",$G$12&lt;&gt;"",$C$6&lt;&gt;"Year 3"),AND(OR($I$7&lt;&gt;"", AND($F$12="", $E$12="")),$A$8="Year 3 results will be displayed after Global Fund's validation"))</formula>
    </cfRule>
  </conditionalFormatting>
  <dataValidations count="6">
    <dataValidation type="list" allowBlank="1" showInputMessage="1" showErrorMessage="1" sqref="C41:C42 C40" xr:uid="{3BD83FEA-3953-4FDB-BCFF-82D3E28E43B1}">
      <formula1>INDIRECT(SUBSTITUTE($N$26&amp;$B$40," ",""))</formula1>
    </dataValidation>
    <dataValidation type="list" allowBlank="1" showInputMessage="1" showErrorMessage="1" sqref="C43:C45" xr:uid="{A7D7C631-DCA9-4564-ABF3-FD653B4884C4}">
      <formula1>INDIRECT(SUBSTITUTE($N$26&amp;$B$43," ",""))</formula1>
    </dataValidation>
    <dataValidation type="list" allowBlank="1" showInputMessage="1" showErrorMessage="1" sqref="E40:I42" xr:uid="{4DBD3733-CA33-4617-B2EE-76C583C9F6E5}">
      <formula1>INDIRECT(SUBSTITUTE($N$26&amp;$D$40," ",""))</formula1>
    </dataValidation>
    <dataValidation type="list" allowBlank="1" showInputMessage="1" showErrorMessage="1" sqref="E43:I45" xr:uid="{7A52002C-58C7-4D82-997B-873AC2691523}">
      <formula1>INDIRECT(SUBSTITUTE($N$26&amp;$D$43," ",""))</formula1>
    </dataValidation>
    <dataValidation type="list" allowBlank="1" showInputMessage="1" showErrorMessage="1" sqref="K40:O42" xr:uid="{F26FE834-F10F-4D8B-AFD9-068173095F87}">
      <formula1>INDIRECT(SUBSTITUTE($N$26&amp;$J$40," ",""))</formula1>
    </dataValidation>
    <dataValidation type="list" allowBlank="1" showInputMessage="1" showErrorMessage="1" sqref="K43:O45" xr:uid="{6F30738A-AE88-4F00-8AA2-5E176AEB8CFA}">
      <formula1>INDIRECT(SUBSTITUTE($N$26&amp;$J$43," ",""))</formula1>
    </dataValidation>
  </dataValidations>
  <hyperlinks>
    <hyperlink ref="C11" location="EN_Progress_Results!A68" display="Eligibility Assessment" xr:uid="{986295F4-D1BC-4A4B-A337-8728A54E9C41}"/>
    <hyperlink ref="C17" location="EN_Progress_Results!A47" display="Summary: Coordinating Mechanism Performance and Progress" xr:uid="{83E61247-5D35-4BEF-80CC-7120AD274213}"/>
  </hyperlinks>
  <pageMargins left="0.7" right="0.7" top="0.75" bottom="0.75" header="0.3" footer="0.3"/>
  <pageSetup scale="21"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872" id="{00000000-000E-0000-0200-000000030000}">
            <xm:f>AND(EN_PF_Year3!$H$1=TRUE, EN_PF_YearY!$H$1=TRUE,EN_PF_YearZ!$H$1=TRUE)</xm:f>
            <x14:dxf>
              <font>
                <color theme="0"/>
              </font>
              <fill>
                <patternFill>
                  <fgColor theme="0"/>
                  <bgColor theme="0"/>
                </patternFill>
              </fill>
              <border>
                <left/>
                <right/>
                <top/>
                <bottom/>
                <vertical/>
                <horizontal/>
              </border>
            </x14:dxf>
          </x14:cfRule>
          <xm:sqref>I6</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8D66045-D2A9-4DE6-B7C9-3B953A8B1420}">
          <x14:formula1>
            <xm:f>EN_PF_DROPDOWN!$A$65:$A$68</xm:f>
          </x14:formula1>
          <xm:sqref>K18:N21</xm:sqref>
        </x14:dataValidation>
        <x14:dataValidation type="list" allowBlank="1" showInputMessage="1" showErrorMessage="1" xr:uid="{1F5A9CB8-9F9E-4716-B897-B159960E11ED}">
          <x14:formula1>
            <xm:f>EN_PF_DROPDOWN!$A$50:$A$53</xm:f>
          </x14:formula1>
          <xm:sqref>C6</xm:sqref>
        </x14:dataValidation>
        <x14:dataValidation type="list" allowBlank="1" showInputMessage="1" showErrorMessage="1" xr:uid="{D54A2096-C490-4E32-ABF4-D70DB533C66D}">
          <x14:formula1>
            <xm:f>EN_PF_DROPDOWN!$A$61:$A$62</xm:f>
          </x14:formula1>
          <xm:sqref>N25</xm:sqref>
        </x14:dataValidation>
        <x14:dataValidation type="list" allowBlank="1" showInputMessage="1" showErrorMessage="1" xr:uid="{70019DB8-810B-4CC9-A25C-89A9C15374F1}">
          <x14:formula1>
            <xm:f>EN_PF_DROPDOWN!$A$69:$A$71</xm:f>
          </x14:formula1>
          <xm:sqref>K12:N15</xm:sqref>
        </x14:dataValidation>
        <x14:dataValidation type="list" allowBlank="1" showInputMessage="1" showErrorMessage="1" xr:uid="{6CFFA8AC-80C7-45D9-9525-57994226D9FC}">
          <x14:formula1>
            <xm:f>EN_PF_DROPDOWN!$A$85:$A$87</xm:f>
          </x14:formula1>
          <xm:sqref>N26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A68F7-E528-4B0F-A3E1-8E7F15E1C5FB}">
  <sheetPr codeName="Sheet9">
    <tabColor rgb="FF7030A0"/>
    <pageSetUpPr fitToPage="1"/>
  </sheetPr>
  <dimension ref="A1:AX34"/>
  <sheetViews>
    <sheetView zoomScaleNormal="100" workbookViewId="0">
      <selection activeCell="C6" sqref="C6"/>
    </sheetView>
  </sheetViews>
  <sheetFormatPr defaultColWidth="8.625" defaultRowHeight="14.25" x14ac:dyDescent="0.2"/>
  <cols>
    <col min="1" max="1" width="0.375" style="23" customWidth="1"/>
    <col min="2" max="2" width="10.625" style="23" customWidth="1"/>
    <col min="3" max="3" width="52.625" style="23" customWidth="1"/>
    <col min="4" max="19" width="10.625" style="23" customWidth="1"/>
    <col min="20" max="20" width="8.625" style="23"/>
    <col min="21" max="50" width="8.625" style="17"/>
    <col min="51" max="16384" width="8.625" style="23"/>
  </cols>
  <sheetData>
    <row r="1" spans="1:50" x14ac:dyDescent="0.2">
      <c r="A1" s="17"/>
      <c r="B1" s="17"/>
      <c r="C1" s="17"/>
      <c r="D1" s="17"/>
      <c r="E1" s="17"/>
      <c r="F1" s="17"/>
      <c r="G1" s="17"/>
      <c r="H1" s="17"/>
      <c r="I1" s="17"/>
      <c r="J1" s="17"/>
      <c r="K1" s="17"/>
      <c r="L1" s="17"/>
      <c r="M1" s="17"/>
      <c r="N1" s="17"/>
      <c r="O1" s="17"/>
      <c r="P1" s="17"/>
      <c r="Q1" s="17"/>
      <c r="R1" s="17"/>
      <c r="S1" s="17"/>
      <c r="T1" s="17"/>
    </row>
    <row r="2" spans="1:50" x14ac:dyDescent="0.2">
      <c r="A2" s="17"/>
      <c r="B2" s="17"/>
      <c r="C2" s="17"/>
      <c r="D2" s="17"/>
      <c r="E2" s="17"/>
      <c r="F2" s="17"/>
      <c r="G2" s="17"/>
      <c r="H2" s="17"/>
      <c r="I2" s="17"/>
      <c r="J2" s="17"/>
      <c r="K2" s="17"/>
      <c r="L2" s="17"/>
      <c r="M2" s="17"/>
      <c r="N2" s="17"/>
      <c r="O2" s="17"/>
      <c r="P2" s="17"/>
      <c r="Q2" s="17"/>
      <c r="R2" s="17"/>
      <c r="S2" s="17"/>
      <c r="T2" s="17"/>
    </row>
    <row r="3" spans="1:50" s="1" customFormat="1" ht="33.75" x14ac:dyDescent="0.2">
      <c r="A3" s="2"/>
      <c r="B3" s="2"/>
      <c r="C3" s="2"/>
      <c r="D3" s="2"/>
      <c r="E3" s="2"/>
      <c r="F3" s="2"/>
      <c r="G3" s="2"/>
      <c r="H3" s="2"/>
      <c r="I3" s="22"/>
      <c r="J3" s="2"/>
      <c r="K3" s="2"/>
      <c r="L3" s="25"/>
      <c r="M3" s="25"/>
      <c r="N3" s="25"/>
      <c r="O3" s="2"/>
      <c r="P3" s="2"/>
      <c r="Q3" s="2"/>
      <c r="R3" s="2"/>
      <c r="S3" s="2"/>
      <c r="T3" s="2"/>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row>
    <row r="4" spans="1:50" ht="34.5" thickBot="1" x14ac:dyDescent="0.25">
      <c r="A4" s="17"/>
      <c r="B4" s="17"/>
      <c r="C4" s="369" t="s">
        <v>413</v>
      </c>
      <c r="D4" s="369"/>
      <c r="E4" s="369"/>
      <c r="F4" s="369"/>
      <c r="G4" s="369"/>
      <c r="H4" s="369"/>
      <c r="I4" s="369"/>
      <c r="J4" s="369"/>
      <c r="K4" s="369"/>
      <c r="L4" s="369"/>
      <c r="M4" s="369"/>
      <c r="N4" s="2"/>
      <c r="O4" s="2"/>
      <c r="P4" s="2"/>
      <c r="Q4" s="17"/>
      <c r="R4" s="17"/>
      <c r="S4" s="17"/>
      <c r="T4" s="17"/>
    </row>
    <row r="5" spans="1:50" ht="34.5" thickBot="1" x14ac:dyDescent="0.25">
      <c r="A5" s="17"/>
      <c r="B5" s="17"/>
      <c r="C5" s="107" t="s">
        <v>199</v>
      </c>
      <c r="D5" s="17"/>
      <c r="E5" s="17"/>
      <c r="F5" s="17"/>
      <c r="G5" s="17"/>
      <c r="H5" s="12"/>
      <c r="I5" s="133"/>
      <c r="J5" s="133"/>
      <c r="K5" s="133"/>
      <c r="L5" s="2"/>
      <c r="M5" s="2"/>
      <c r="N5" s="2"/>
      <c r="O5" s="2"/>
      <c r="P5" s="2"/>
      <c r="Q5" s="17"/>
      <c r="R5" s="17"/>
      <c r="S5" s="17"/>
      <c r="T5" s="17"/>
    </row>
    <row r="6" spans="1:50" ht="34.5" thickBot="1" x14ac:dyDescent="0.25">
      <c r="B6" s="17"/>
      <c r="C6" s="24" t="s">
        <v>115</v>
      </c>
      <c r="D6" s="17"/>
      <c r="E6" s="17"/>
      <c r="F6" s="17"/>
      <c r="G6" s="17"/>
      <c r="H6" s="5"/>
      <c r="I6" s="12"/>
      <c r="J6" s="202"/>
      <c r="K6" s="5"/>
      <c r="L6" s="2"/>
      <c r="M6" s="2"/>
      <c r="N6" s="2"/>
      <c r="O6" s="2"/>
      <c r="P6" s="2"/>
      <c r="Q6" s="17"/>
      <c r="R6" s="17"/>
      <c r="S6" s="17"/>
      <c r="T6" s="17"/>
    </row>
    <row r="7" spans="1:50" ht="15" customHeight="1" thickBot="1" x14ac:dyDescent="0.25">
      <c r="B7" s="17"/>
      <c r="C7" s="17"/>
      <c r="D7" s="17"/>
      <c r="E7" s="17"/>
      <c r="F7" s="17"/>
      <c r="G7" s="17"/>
      <c r="H7" s="17"/>
      <c r="I7" s="17"/>
      <c r="J7" s="17"/>
      <c r="K7" s="17"/>
      <c r="L7" s="17"/>
      <c r="M7" s="17"/>
      <c r="N7" s="17"/>
      <c r="O7" s="17"/>
      <c r="P7" s="17"/>
      <c r="Q7" s="17"/>
      <c r="R7" s="17"/>
      <c r="S7" s="17"/>
      <c r="T7" s="17"/>
    </row>
    <row r="8" spans="1:50" s="17" customFormat="1" ht="20.100000000000001" customHeight="1" thickBot="1" x14ac:dyDescent="0.25">
      <c r="A8" s="325" t="str" cm="1">
        <f t="array" ref="A8">_xlfn.IFS(AND(EN_Progress_Results!E18="", EN_Progress_Results!E19="", EN_Progress_Results!E20="", EN_Progress_Results!E21="", OR(AND(EN_Progress_Results!F18&lt;&gt;"",EN_Progress_Results!F19&lt;&gt;"", EN_Progress_Results!F20&lt;&gt;"", EN_Progress_Results!F21&lt;&gt;""), AND(EN_Progress_Results!G18&lt;&gt;"",EN_Progress_Results!G19&lt;&gt;"", EN_Progress_Results!G20&lt;&gt;"", EN_Progress_Results!G21&lt;&gt;"")), $C$6="Year 1"),"Evaluation Year 1 not applicable in this performance period", AND(EN_Progress_Results!F18="", EN_Progress_Results!F19="", EN_Progress_Results!F20="", EN_Progress_Results!F21="", EN_Progress_Results!G18&lt;&gt;"",EN_Progress_Results!G19&lt;&gt;"", EN_Progress_Results!G20&lt;&gt;"", EN_Progress_Results!G21&lt;&gt;"", EN_Progress_Results!E12="", EN_Progress_Results!E13="", EN_Progress_Results!E14="", EN_Progress_Results!E15="", $C$6="Year 2"),"Evaluation Year 2 not applicable in this performance period",OR(AND(C6="Year 1",EN_Progress_Results!E12="",EN_Progress_Results!E13="",EN_Progress_Results!E14="",EN_Progress_Results!E15=""),AND(C6="Year 2",EN_Progress_Results!F12="",EN_Progress_Results!F13="",EN_Progress_Results!F14="",EN_Progress_Results!F15=""),AND(C6="Year 3",EN_Progress_Results!G12="",EN_Progress_Results!G13="",EN_Progress_Results!G14="",EN_Progress_Results!G15="")),_xlfn.CONCAT(C6," results will be displayed after Global Fund's validation"),OR(C6="Year 1",C6="Year 2",C6="Year 3",C6="Year 4"),_xlfn.CONCAT("Results, ",C6),OR(EN_PF_Year3!D14="No",EN_PF_YearY!D14="No",EN_PF_YearZ!D14="No"),"The Coordinating mechanism did not complete a separate baseline at the beginning of this performance period")</f>
        <v>Year 1 results will be displayed after Global Fund's validation</v>
      </c>
      <c r="B8" s="326"/>
      <c r="C8" s="326"/>
      <c r="D8" s="205" t="str">
        <f>IF(AND(EN_Progress_Results!E12="", EN_Progress_Results!E13="", EN_Progress_Results!E14="", EN_Progress_Results!E15="", OR(AND(EN_Progress_Results!F12&lt;&gt;"",EN_Progress_Results!F13&lt;&gt;"", EN_Progress_Results!F14&lt;&gt;"", EN_Progress_Results!F15&lt;&gt;""), AND(EN_Progress_Results!G12&lt;&gt;"",EN_Progress_Results!G13&lt;&gt;"", EN_Progress_Results!G14&lt;&gt;"", EN_Progress_Results!G15&lt;&gt;"")), $C$6="Year 1"),"Evaluation Year 1 not applicable in this performance period","")</f>
        <v/>
      </c>
      <c r="E8" s="203"/>
      <c r="F8" s="203"/>
      <c r="G8" s="203"/>
      <c r="H8" s="203"/>
      <c r="I8" s="205" t="str">
        <f>IF(AND(EN_Progress_Results!F12="", EN_Progress_Results!F13="", EN_Progress_Results!F14="", EN_Progress_Results!F15="", EN_Progress_Results!G12&lt;&gt;"",EN_Progress_Results!G13&lt;&gt;"", EN_Progress_Results!G14&lt;&gt;"", EN_Progress_Results!G15&lt;&gt;"", EN_Progress_Results!E12="", EN_Progress_Results!E13="", EN_Progress_Results!E14="", EN_Progress_Results!E15="", $C$6="Year 2"),"Evaluation Year 2 not applicable in this performance period","")</f>
        <v/>
      </c>
      <c r="J8" s="203"/>
      <c r="K8" s="203"/>
      <c r="L8" s="203"/>
      <c r="M8" s="203"/>
      <c r="N8" s="203"/>
      <c r="O8" s="203"/>
      <c r="P8" s="203"/>
      <c r="Q8" s="203"/>
      <c r="R8" s="203"/>
      <c r="S8" s="203"/>
      <c r="T8" s="204"/>
      <c r="X8" s="35"/>
      <c r="Y8" s="35"/>
      <c r="Z8" s="35"/>
      <c r="AA8" s="35"/>
      <c r="AB8" s="35"/>
      <c r="AC8" s="35"/>
    </row>
    <row r="9" spans="1:50" s="17" customFormat="1" ht="16.350000000000001" customHeight="1" x14ac:dyDescent="0.25">
      <c r="B9" s="4"/>
      <c r="C9" s="4"/>
      <c r="D9" s="370"/>
      <c r="E9" s="370"/>
      <c r="F9" s="370"/>
      <c r="H9" s="328"/>
      <c r="I9" s="328"/>
      <c r="J9" s="328"/>
      <c r="K9" s="39"/>
      <c r="L9" s="39"/>
      <c r="W9" s="35"/>
      <c r="X9" s="35"/>
      <c r="Y9" s="35"/>
      <c r="Z9" s="35"/>
      <c r="AA9" s="35"/>
      <c r="AB9" s="35"/>
      <c r="AC9" s="35"/>
      <c r="AD9" s="35"/>
      <c r="AE9" s="35"/>
      <c r="AF9" s="35"/>
      <c r="AG9" s="35"/>
      <c r="AH9" s="35"/>
      <c r="AI9" s="35"/>
      <c r="AJ9" s="35"/>
      <c r="AK9" s="35"/>
      <c r="AL9" s="35"/>
    </row>
    <row r="10" spans="1:50" s="17" customFormat="1" ht="16.350000000000001" customHeight="1" x14ac:dyDescent="0.25">
      <c r="B10" s="4"/>
      <c r="C10" s="68"/>
      <c r="D10" s="371" t="s">
        <v>216</v>
      </c>
      <c r="E10" s="321"/>
      <c r="F10" s="321"/>
      <c r="H10" s="371" t="s">
        <v>216</v>
      </c>
      <c r="I10" s="371"/>
      <c r="J10" s="371"/>
      <c r="K10" s="39"/>
      <c r="L10" s="39"/>
      <c r="W10" s="35"/>
      <c r="X10" s="35"/>
      <c r="Y10" s="35"/>
      <c r="Z10" s="35"/>
      <c r="AA10" s="35"/>
      <c r="AB10" s="35"/>
      <c r="AC10" s="35"/>
      <c r="AD10" s="35"/>
      <c r="AE10" s="35"/>
      <c r="AF10" s="35"/>
      <c r="AG10" s="35"/>
      <c r="AH10" s="35"/>
      <c r="AI10" s="35"/>
      <c r="AJ10" s="35"/>
      <c r="AK10" s="35"/>
      <c r="AL10" s="35"/>
    </row>
    <row r="11" spans="1:50" s="17" customFormat="1" ht="41.1" customHeight="1" x14ac:dyDescent="0.25">
      <c r="B11" s="49" t="s">
        <v>409</v>
      </c>
      <c r="C11" s="48" t="s">
        <v>150</v>
      </c>
      <c r="D11" s="49" t="s">
        <v>115</v>
      </c>
      <c r="E11" s="49" t="s">
        <v>116</v>
      </c>
      <c r="F11" s="49" t="s">
        <v>117</v>
      </c>
      <c r="G11" s="40"/>
      <c r="H11" s="49" t="s">
        <v>115</v>
      </c>
      <c r="I11" s="49" t="s">
        <v>116</v>
      </c>
      <c r="J11" s="49" t="s">
        <v>117</v>
      </c>
      <c r="K11" s="41"/>
      <c r="L11" s="41"/>
      <c r="M11" s="42"/>
      <c r="N11" s="42"/>
      <c r="O11" s="42"/>
      <c r="P11" s="42"/>
      <c r="Q11" s="42"/>
      <c r="R11" s="42"/>
      <c r="S11" s="42"/>
      <c r="T11" s="42"/>
      <c r="U11" s="42"/>
      <c r="V11" s="42"/>
      <c r="W11" s="35"/>
      <c r="X11" s="35"/>
      <c r="Y11" s="35"/>
      <c r="Z11" s="71" t="s">
        <v>400</v>
      </c>
      <c r="AA11" s="71" t="s">
        <v>401</v>
      </c>
      <c r="AB11" s="71" t="s">
        <v>402</v>
      </c>
      <c r="AC11" s="35"/>
      <c r="AD11" s="35"/>
      <c r="AE11" s="35"/>
      <c r="AF11" s="35"/>
      <c r="AG11" s="35"/>
      <c r="AH11" s="35"/>
      <c r="AI11" s="35"/>
      <c r="AJ11" s="35"/>
      <c r="AK11" s="35"/>
      <c r="AL11" s="35"/>
    </row>
    <row r="12" spans="1:50" s="17" customFormat="1" ht="70.349999999999994" customHeight="1" x14ac:dyDescent="0.25">
      <c r="B12" s="372" t="s">
        <v>406</v>
      </c>
      <c r="C12" s="47" t="s">
        <v>645</v>
      </c>
      <c r="D12" s="44" t="str" cm="1">
        <f t="array" ref="D12">_xlfn.IFS(AND(OR(EN_PF_Year3!D20="Year 1",EN_PF_Year3!J14 =1),EN_PF_Year3!L34&lt;&gt;""),EN_PF_Year3!L34/3,AND(OR(EN_PF_YearY!D20="Year 1",EN_PF_YearY!J14 =1),EN_PF_YearY!L34&lt;&gt;""),EN_PF_YearY!L34/3,AND(OR(EN_PF_YearZ!D20="Year 1",EN_PF_YearZ!J14 =1),EN_PF_YearZ!L34&lt;&gt;""),EN_PF_YearZ!L34/3,AND(EN_PF_Year3!D20&lt;&gt;"Year 1",EN_PF_Year3!J14 &lt;&gt;1,EN_PF_YearY!D20&lt;&gt;"Year 1",EN_PF_YearY!J14 &lt;&gt;1,EN_PF_YearZ!D20&lt;&gt;"Year 1",EN_PF_YearZ!J14 &lt;&gt;1),"",AND(OR(EN_PF_Year3!D20="Year 1",EN_PF_Year3!J14 =1),EN_PF_Year3!L34=""),"",AND(OR(EN_PF_YearY!D20="Year 1",EN_PF_YearY!J14 =1),EN_PF_YearY!L34=""),"",AND(OR(EN_PF_YearZ!D20="Year 1",EN_PF_YearZ!J14 =1),EN_PF_YearZ!L34=""),"")</f>
        <v/>
      </c>
      <c r="E12" s="44" t="str" cm="1">
        <f t="array" ref="E12">_xlfn.IFS(AND(OR(EN_PF_Year3!D20="Year 2",EN_PF_Year3!J14 =2),EN_PF_Year3!L34&lt;&gt;""),EN_PF_Year3!L34/3,AND(OR(EN_PF_YearY!D20="Year 2",EN_PF_YearY!J14 =2),EN_PF_YearY!L34&lt;&gt;""),EN_PF_YearY!L34/3,AND(OR(EN_PF_YearZ!D20="Year 2",EN_PF_YearZ!J14 =2),EN_PF_YearZ!L34&lt;&gt;""),EN_PF_YearZ!L34/3,AND(EN_PF_Year3!D20&lt;&gt;"Year 2",EN_PF_Year3!J14 &lt;&gt;2,EN_PF_YearY!D20&lt;&gt;"Year 2",EN_PF_YearY!J14 &lt;&gt;2,EN_PF_YearZ!D20&lt;&gt;"Year 2",EN_PF_YearZ!J14 &lt;&gt;2),"",AND(OR(EN_PF_Year3!D20="Year 2",EN_PF_Year3!J14 =2),EN_PF_Year3!L34=""),"",AND(OR(EN_PF_YearY!D20="Year 2",EN_PF_YearY!J14 =2),EN_PF_YearY!L34=""),"",AND(OR(EN_PF_YearZ!D20="Year 2",EN_PF_YearZ!J14 =2),EN_PF_YearZ!L34=""),"")</f>
        <v/>
      </c>
      <c r="F12" s="44" t="str" cm="1">
        <f t="array" ref="F12">_xlfn.IFS(AND(OR(EN_PF_Year3!D20="Year 3",EN_PF_Year3!J14 =3),EN_PF_Year3!L34&lt;&gt;""),EN_PF_Year3!L34/3,AND(OR(EN_PF_YearY!D20="Year 3",EN_PF_YearY!J14 =3),EN_PF_YearY!L34&lt;&gt;""),EN_PF_YearY!L34/3,AND(OR(EN_PF_YearZ!D20="Year 3",EN_PF_YearZ!J14 =3),EN_PF_YearZ!L34&lt;&gt;""),EN_PF_YearZ!L34/3,AND(EN_PF_Year3!D20&lt;&gt;"Year 3",EN_PF_Year3!J14 &lt;&gt;3,EN_PF_YearY!D20&lt;&gt;"Year 3",EN_PF_YearY!J14 &lt;&gt;3,EN_PF_YearZ!D20&lt;&gt;"Year 3",EN_PF_YearZ!J14 &lt;&gt;3),"",AND(OR(EN_PF_Year3!D20="Year 3",EN_PF_Year3!J14 =3),EN_PF_Year3!L34=""),"",AND(OR(EN_PF_YearY!D20="Year 3",EN_PF_YearY!J14 =3),EN_PF_YearY!L34=""),"",AND(OR(EN_PF_YearZ!D20="Year 3",EN_PF_YearZ!J14 =3),EN_PF_YearZ!L34=""),"")</f>
        <v/>
      </c>
      <c r="G12" s="40"/>
      <c r="H12" s="374" t="str" cm="1">
        <f t="array" ref="H12">_xlfn.IFS(AND(D12&lt;&gt;"",D13&lt;&gt;"",D14&lt;&gt;"",D15&lt;&gt;""),AVERAGE(D12:D15),OR(D12="",D13="",D14="",D15=""),"")</f>
        <v/>
      </c>
      <c r="I12" s="337" t="str" cm="1">
        <f t="array" ref="I12">_xlfn.IFS(AND(E12&lt;&gt;"",E13&lt;&gt;"",E14&lt;&gt;"",E15&lt;&gt;""),AVERAGE(E12:E15),OR(E12="",E13="",E14="",E15=""),"")</f>
        <v/>
      </c>
      <c r="J12" s="337" t="str" cm="1">
        <f t="array" ref="J12">_xlfn.IFS(AND(F12&lt;&gt;"",F13&lt;&gt;"",F14&lt;&gt;"",F15&lt;&gt;""),AVERAGE(F12:F15),OR(F12="",F13="",F14="",F15=""),"")</f>
        <v/>
      </c>
      <c r="K12" s="41"/>
      <c r="L12" s="67"/>
      <c r="M12" s="42"/>
      <c r="N12" s="42"/>
      <c r="O12" s="42"/>
      <c r="P12" s="42"/>
      <c r="Q12" s="42"/>
      <c r="R12" s="42"/>
      <c r="S12" s="42"/>
      <c r="T12" s="42"/>
      <c r="U12" s="42"/>
      <c r="V12" s="42"/>
      <c r="W12" s="35"/>
      <c r="X12" s="35"/>
      <c r="Y12" s="35"/>
      <c r="Z12" s="64">
        <v>0.25</v>
      </c>
      <c r="AA12" s="65">
        <v>0.57999999999999996</v>
      </c>
      <c r="AB12" s="65">
        <v>0.9</v>
      </c>
      <c r="AC12" s="35"/>
      <c r="AD12" s="35"/>
      <c r="AE12" s="35"/>
      <c r="AF12" s="35"/>
      <c r="AG12" s="35"/>
      <c r="AH12" s="35"/>
      <c r="AI12" s="35"/>
      <c r="AJ12" s="35"/>
      <c r="AK12" s="35"/>
      <c r="AL12" s="35"/>
    </row>
    <row r="13" spans="1:50" s="17" customFormat="1" ht="70.349999999999994" customHeight="1" x14ac:dyDescent="0.25">
      <c r="B13" s="373"/>
      <c r="C13" s="47" t="s">
        <v>412</v>
      </c>
      <c r="D13" s="44" t="str" cm="1">
        <f t="array" ref="D13">_xlfn.IFS(AND(OR(EN_PF_Year3!D20="Year 1",EN_PF_Year3!J14 =1),EN_PF_Year3!L35&lt;&gt;""),EN_PF_Year3!L35/3,AND(OR(EN_PF_YearY!D20="Year 1",EN_PF_YearY!J14 =1),EN_PF_YearY!L35&lt;&gt;""),EN_PF_YearY!L35/3,AND(OR(EN_PF_YearZ!D20="Year 1",EN_PF_YearZ!J14 =1),EN_PF_YearZ!L35&lt;&gt;""),EN_PF_YearZ!L35/3,AND(EN_PF_Year3!D20&lt;&gt;"Year 1",EN_PF_Year3!J14 &lt;&gt;1,EN_PF_YearY!D20&lt;&gt;"Year 1",EN_PF_YearY!J14 &lt;&gt;1,EN_PF_YearZ!D20&lt;&gt;"Year 1",EN_PF_YearZ!J14 &lt;&gt;1),"",AND(OR(EN_PF_Year3!D20="Year 1",EN_PF_Year3!J14 =1),EN_PF_Year3!L35=""),"",AND(OR(EN_PF_YearY!D20="Year 1",EN_PF_YearY!J14 =1),EN_PF_YearY!L35=""),"",AND(OR(EN_PF_YearZ!D20="Year 1",EN_PF_YearZ!J14 =1),EN_PF_YearZ!L35=""),"")</f>
        <v/>
      </c>
      <c r="E13" s="44" t="str" cm="1">
        <f t="array" ref="E13">_xlfn.IFS(AND(OR(EN_PF_Year3!D20="Year 2",EN_PF_Year3!J14 =2),EN_PF_Year3!L35&lt;&gt;""),EN_PF_Year3!L35/3,AND(OR(EN_PF_YearY!D20="Year 2",EN_PF_YearY!J14 =2),EN_PF_YearY!L35&lt;&gt;""),EN_PF_YearY!L35/3,AND(OR(EN_PF_YearZ!D20="Year 2",EN_PF_YearZ!J14 =2),EN_PF_YearZ!L35&lt;&gt;""),EN_PF_YearZ!L35/3,AND(EN_PF_Year3!D20&lt;&gt;"Year 2",EN_PF_Year3!J14 &lt;&gt;2,EN_PF_YearY!D20&lt;&gt;"Year 2",EN_PF_YearY!J14 &lt;&gt;2,EN_PF_YearZ!D20&lt;&gt;"Year 2",EN_PF_YearZ!J14 &lt;&gt;2),"",AND(OR(EN_PF_Year3!D20="Year 2",EN_PF_Year3!J14 =2),EN_PF_Year3!L35=""),"",AND(OR(EN_PF_YearY!D20="Year 2",EN_PF_YearY!J14 =2),EN_PF_YearY!L35=""),"",AND(OR(EN_PF_YearZ!D20="Year 2",EN_PF_YearZ!J14 =2),EN_PF_YearZ!L35=""),"")</f>
        <v/>
      </c>
      <c r="F13" s="44" t="str" cm="1">
        <f t="array" ref="F13">_xlfn.IFS(AND(OR(EN_PF_Year3!D20="Year 3",EN_PF_Year3!J14 =3),EN_PF_Year3!L35&lt;&gt;""),EN_PF_Year3!L35/3,AND(OR(EN_PF_YearY!D20="Year 3",EN_PF_YearY!J14 =3),EN_PF_YearY!L35&lt;&gt;""),EN_PF_YearY!L35/3,AND(OR(EN_PF_YearZ!D20="Year 3",EN_PF_YearZ!J14 =3),EN_PF_YearZ!L35&lt;&gt;""),EN_PF_YearZ!L35/3,AND(EN_PF_Year3!D20&lt;&gt;"Year 3",EN_PF_Year3!J14 &lt;&gt;3,EN_PF_YearY!D20&lt;&gt;"Year 3",EN_PF_YearY!J14 &lt;&gt;3,EN_PF_YearZ!D20&lt;&gt;"Year 3",EN_PF_YearZ!J14 &lt;&gt;3),"",AND(OR(EN_PF_Year3!D20="Year 3",EN_PF_Year3!J14 =3),EN_PF_Year3!L35=""),"",AND(OR(EN_PF_YearY!D20="Year 3",EN_PF_YearY!J14 =3),EN_PF_YearY!L35=""),"",AND(OR(EN_PF_YearZ!D20="Year 3",EN_PF_YearZ!J14 =3),EN_PF_YearZ!L35=""),"")</f>
        <v/>
      </c>
      <c r="G13" s="40"/>
      <c r="H13" s="375"/>
      <c r="I13" s="338"/>
      <c r="J13" s="338"/>
      <c r="K13" s="41"/>
      <c r="L13" s="67"/>
      <c r="M13" s="42"/>
      <c r="N13" s="42"/>
      <c r="O13" s="42"/>
      <c r="P13" s="42"/>
      <c r="Q13" s="42"/>
      <c r="R13" s="42"/>
      <c r="S13" s="42"/>
      <c r="T13" s="42"/>
      <c r="U13" s="42"/>
      <c r="V13" s="42"/>
      <c r="W13" s="35"/>
      <c r="X13" s="35"/>
      <c r="Y13" s="35"/>
      <c r="Z13" s="64"/>
      <c r="AA13" s="35"/>
      <c r="AB13" s="35"/>
      <c r="AC13" s="35"/>
      <c r="AD13" s="35"/>
      <c r="AE13" s="35"/>
      <c r="AF13" s="35"/>
      <c r="AG13" s="35"/>
      <c r="AH13" s="35"/>
      <c r="AI13" s="35"/>
      <c r="AJ13" s="35"/>
      <c r="AK13" s="35"/>
      <c r="AL13" s="35"/>
    </row>
    <row r="14" spans="1:50" s="17" customFormat="1" ht="70.349999999999994" customHeight="1" x14ac:dyDescent="0.25">
      <c r="B14" s="373"/>
      <c r="C14" s="70" t="s">
        <v>646</v>
      </c>
      <c r="D14" s="44" t="str" cm="1">
        <f t="array" ref="D14">_xlfn.IFS(AND(OR(EN_PF_Year3!D20="Year 1",EN_PF_Year3!J14 =1),EN_PF_Year3!L45&lt;&gt;""),EN_PF_Year3!L45/3,AND(OR(EN_PF_YearY!D20="Year 1",EN_PF_YearY!J14 =1),EN_PF_YearY!L45&lt;&gt;""),EN_PF_YearY!L45/3,AND(OR(EN_PF_YearZ!D20="Year 1",EN_PF_YearZ!J14 =1),EN_PF_YearZ!L45&lt;&gt;""),EN_PF_YearZ!L45/3,AND(EN_PF_Year3!D20&lt;&gt;"Year 1",EN_PF_Year3!J14 &lt;&gt;1,EN_PF_YearY!D20&lt;&gt;"Year 1",EN_PF_YearY!J14 &lt;&gt;1,EN_PF_YearZ!D20&lt;&gt;"Year 1",EN_PF_YearZ!J14 &lt;&gt;1),"",AND(OR(EN_PF_Year3!D20="Year 1",EN_PF_Year3!J14 =1),EN_PF_Year3!L45=""),"",AND(OR(EN_PF_YearY!D20="Year 1",EN_PF_YearY!J14 =1),EN_PF_YearY!L45=""),"",AND(OR(EN_PF_YearZ!D20="Year 1",EN_PF_YearZ!J14 =1),EN_PF_YearZ!L45=""),"")</f>
        <v/>
      </c>
      <c r="E14" s="44" t="str" cm="1">
        <f t="array" ref="E14">_xlfn.IFS(AND(OR(EN_PF_Year3!D20="Year 2",EN_PF_Year3!J14 =2),EN_PF_Year3!L45&lt;&gt;""),EN_PF_Year3!L45/3,AND(OR(EN_PF_YearY!D20="Year 2",EN_PF_YearY!J14 =2),EN_PF_YearY!L45&lt;&gt;""),EN_PF_YearY!L45/3,AND(OR(EN_PF_YearZ!D20="Year 2",EN_PF_YearZ!J14 =2),EN_PF_YearZ!L45&lt;&gt;""),EN_PF_YearZ!L45/3,AND(EN_PF_Year3!D20&lt;&gt;"Year 2",EN_PF_Year3!J14 &lt;&gt;2,EN_PF_YearY!D20&lt;&gt;"Year 2",EN_PF_YearY!J14 &lt;&gt;2,EN_PF_YearZ!D20&lt;&gt;"Year 2",EN_PF_YearZ!J14 &lt;&gt;2),"",AND(OR(EN_PF_Year3!D20="Year 2",EN_PF_Year3!J14 =2),EN_PF_Year3!L45=""),"",AND(OR(EN_PF_YearY!D20="Year 2",EN_PF_YearY!J14 =2),EN_PF_YearY!L45=""),"",AND(OR(EN_PF_YearZ!D20="Year 2",EN_PF_YearZ!J14 =2),EN_PF_YearZ!L45=""),"")</f>
        <v/>
      </c>
      <c r="F14" s="44" t="str" cm="1">
        <f t="array" ref="F14">_xlfn.IFS(AND(OR(EN_PF_Year3!D20="Year 3",EN_PF_Year3!J14 =3),EN_PF_Year3!L45&lt;&gt;""),EN_PF_Year3!L45/3,AND(OR(EN_PF_YearY!D20="Year 3",EN_PF_YearY!J14 =3),EN_PF_YearY!L45&lt;&gt;""),EN_PF_YearY!L45/3,AND(OR(EN_PF_YearZ!D20="Year 3",EN_PF_YearZ!J14 =3),EN_PF_YearZ!L45&lt;&gt;""),EN_PF_YearZ!L45/3,AND(EN_PF_Year3!D20&lt;&gt;"Year 3",EN_PF_Year3!J14 &lt;&gt;3,EN_PF_YearY!D20&lt;&gt;"Year 3",EN_PF_YearY!J14 &lt;&gt;3,EN_PF_YearZ!D20&lt;&gt;"Year 3",EN_PF_YearZ!J14 &lt;&gt;3),"",AND(OR(EN_PF_Year3!D20="Year 3",EN_PF_Year3!J14 =3),EN_PF_Year3!L45=""),"",AND(OR(EN_PF_YearY!D20="Year 3",EN_PF_YearY!J14 =3),EN_PF_YearY!L45=""),"",AND(OR(EN_PF_YearZ!D20="Year 3",EN_PF_YearZ!J14 =3),EN_PF_YearZ!L45=""),"")</f>
        <v/>
      </c>
      <c r="G14" s="40"/>
      <c r="H14" s="375"/>
      <c r="I14" s="338"/>
      <c r="J14" s="338"/>
      <c r="K14" s="41"/>
      <c r="L14" s="67"/>
      <c r="M14" s="42"/>
      <c r="N14" s="42"/>
      <c r="O14" s="42"/>
      <c r="P14" s="42"/>
      <c r="Q14" s="42"/>
      <c r="R14" s="42"/>
      <c r="S14" s="42"/>
      <c r="T14" s="42"/>
      <c r="U14" s="42"/>
      <c r="V14" s="42"/>
      <c r="W14" s="35"/>
      <c r="X14" s="35"/>
      <c r="Y14" s="35"/>
      <c r="Z14" s="64"/>
      <c r="AA14" s="35"/>
      <c r="AB14" s="35"/>
      <c r="AC14" s="35"/>
      <c r="AD14" s="35"/>
      <c r="AE14" s="35"/>
      <c r="AF14" s="35"/>
      <c r="AG14" s="35"/>
      <c r="AH14" s="35"/>
      <c r="AI14" s="35"/>
      <c r="AJ14" s="35"/>
      <c r="AK14" s="35"/>
      <c r="AL14" s="35"/>
    </row>
    <row r="15" spans="1:50" s="17" customFormat="1" ht="70.349999999999994" customHeight="1" x14ac:dyDescent="0.25">
      <c r="B15" s="373"/>
      <c r="C15" s="47" t="s">
        <v>411</v>
      </c>
      <c r="D15" s="44" t="str" cm="1">
        <f t="array" ref="D15">_xlfn.IFS(AND(OR(EN_PF_Year3!D20="Year 1",EN_PF_Year3!J14 =1),EN_PF_Year3!L47&lt;&gt;""),EN_PF_Year3!L47/3,AND(OR(EN_PF_YearY!D20="Year 1",EN_PF_YearY!J14 =1),EN_PF_YearY!L47&lt;&gt;""),EN_PF_YearY!L47/3,AND(OR(EN_PF_YearZ!D20="Year 1",EN_PF_YearZ!J14 =1),EN_PF_YearZ!L47&lt;&gt;""),EN_PF_YearZ!L47/3,AND(EN_PF_Year3!D20&lt;&gt;"Year 1",EN_PF_Year3!J14 &lt;&gt;1,EN_PF_YearY!D20&lt;&gt;"Year 1",EN_PF_YearY!J14 &lt;&gt;1,EN_PF_YearZ!D20&lt;&gt;"Year 1",EN_PF_YearZ!J14 &lt;&gt;1),"",AND(OR(EN_PF_Year3!D20="Year 1",EN_PF_Year3!J14 =1),EN_PF_Year3!L47=""),"",AND(OR(EN_PF_YearY!D20="Year 1",EN_PF_YearY!J14 =1),EN_PF_YearY!L47=""),"",AND(OR(EN_PF_YearZ!D20="Year 1",EN_PF_YearZ!J14 =1),EN_PF_YearZ!L47=""),"")</f>
        <v/>
      </c>
      <c r="E15" s="44" t="str" cm="1">
        <f t="array" ref="E15">_xlfn.IFS(AND(OR(EN_PF_Year3!D20="Year 2",EN_PF_Year3!J14 =2),EN_PF_Year3!L47&lt;&gt;""),EN_PF_Year3!L47/3,AND(OR(EN_PF_YearY!D20="Year 2",EN_PF_YearY!J14 =2),EN_PF_YearY!L47&lt;&gt;""),EN_PF_YearY!L47/3,AND(OR(EN_PF_YearZ!D20="Year 2",EN_PF_YearZ!J14 =2),EN_PF_YearZ!L47&lt;&gt;""),EN_PF_YearZ!L47/3,AND(EN_PF_Year3!D20&lt;&gt;"Year 2",EN_PF_Year3!J14 &lt;&gt;2,EN_PF_YearY!D20&lt;&gt;"Year 2",EN_PF_YearY!J14 &lt;&gt;2,EN_PF_YearZ!D20&lt;&gt;"Year 2",EN_PF_YearZ!J14 &lt;&gt;2),"",AND(OR(EN_PF_Year3!D20="Year 2",EN_PF_Year3!J14 =2),EN_PF_Year3!L47=""),"",AND(OR(EN_PF_YearY!D20="Year 2",EN_PF_YearY!J14 =2),EN_PF_YearY!L47=""),"",AND(OR(EN_PF_YearZ!D20="Year 2",EN_PF_YearZ!J14 =2),EN_PF_YearZ!L47=""),"")</f>
        <v/>
      </c>
      <c r="F15" s="44" t="str" cm="1">
        <f t="array" ref="F15">_xlfn.IFS(AND(OR(EN_PF_Year3!D20="Year 3",EN_PF_Year3!J14 =3),EN_PF_Year3!L47&lt;&gt;""),EN_PF_Year3!L47/3,AND(OR(EN_PF_YearY!D20="Year 3",EN_PF_YearY!J14 =3),EN_PF_YearY!L47&lt;&gt;""),EN_PF_YearY!L47/3,AND(OR(EN_PF_YearZ!D20="Year 3",EN_PF_YearZ!J14 =3),EN_PF_YearZ!L47&lt;&gt;""),EN_PF_YearZ!L47/3,AND(EN_PF_Year3!D20&lt;&gt;"Year 3",EN_PF_Year3!J14 &lt;&gt;3,EN_PF_YearY!D20&lt;&gt;"Year 3",EN_PF_YearY!J14 &lt;&gt;3,EN_PF_YearZ!D20&lt;&gt;"Year 3",EN_PF_YearZ!J14 &lt;&gt;3),"",AND(OR(EN_PF_Year3!D20="Year 3",EN_PF_Year3!J14 =3),EN_PF_Year3!L47=""),"",AND(OR(EN_PF_YearY!D20="Year 3",EN_PF_YearY!J14 =3),EN_PF_YearY!L47=""),"",AND(OR(EN_PF_YearZ!D20="Year 3",EN_PF_YearZ!J14 =3),EN_PF_YearZ!L47=""),"")</f>
        <v/>
      </c>
      <c r="G15" s="40"/>
      <c r="H15" s="376"/>
      <c r="I15" s="339"/>
      <c r="J15" s="339"/>
      <c r="K15" s="41"/>
      <c r="L15" s="67"/>
      <c r="M15" s="42"/>
      <c r="N15" s="42"/>
      <c r="O15" s="42"/>
      <c r="P15" s="42"/>
      <c r="Q15" s="42"/>
      <c r="R15" s="42"/>
      <c r="S15" s="42"/>
      <c r="T15" s="42"/>
      <c r="U15" s="42"/>
      <c r="V15" s="42"/>
      <c r="W15" s="35"/>
      <c r="X15" s="35"/>
      <c r="Y15" s="35"/>
      <c r="Z15" s="66"/>
      <c r="AA15" s="35"/>
      <c r="AB15" s="35"/>
      <c r="AC15" s="35"/>
      <c r="AD15" s="35"/>
      <c r="AE15" s="35"/>
      <c r="AF15" s="35"/>
      <c r="AG15" s="35"/>
      <c r="AH15" s="35"/>
      <c r="AI15" s="35"/>
      <c r="AJ15" s="35"/>
      <c r="AK15" s="35"/>
      <c r="AL15" s="35"/>
    </row>
    <row r="16" spans="1:50" s="17" customFormat="1" ht="70.349999999999994" customHeight="1" x14ac:dyDescent="0.25">
      <c r="B16" s="372" t="s">
        <v>407</v>
      </c>
      <c r="C16" s="70" t="s">
        <v>647</v>
      </c>
      <c r="D16" s="44" t="str" cm="1">
        <f t="array" ref="D16">_xlfn.IFS(AND(OR(EN_PF_Year3!D20="Year 1",EN_PF_Year3!J14 =1),EN_PF_Year3!L46&lt;&gt;""),EN_PF_Year3!L46/3,AND(OR(EN_PF_YearY!D20="Year 1",EN_PF_YearY!J14 =1),EN_PF_YearY!L46&lt;&gt;""),EN_PF_YearY!L46/3,AND(OR(EN_PF_YearZ!D20="Year 1",EN_PF_YearZ!J14 =1),EN_PF_YearZ!L46&lt;&gt;""),EN_PF_YearZ!L46/3,AND(EN_PF_Year3!D20&lt;&gt;"Year 1",EN_PF_Year3!J14 &lt;&gt;1,EN_PF_YearY!D20&lt;&gt;"Year 1",EN_PF_YearY!J14 &lt;&gt;1,EN_PF_YearZ!D20&lt;&gt;"Year 1",EN_PF_YearZ!J14 &lt;&gt;1),"",AND(OR(EN_PF_Year3!D20="Year 1",EN_PF_Year3!J14 =1),EN_PF_Year3!L46=""),"",AND(OR(EN_PF_YearY!D20="Year 1",EN_PF_YearY!J14 =1),EN_PF_YearY!L46=""),"",AND(OR(EN_PF_YearZ!D20="Year 1",EN_PF_YearZ!J14 =1),EN_PF_YearZ!L46=""),"")</f>
        <v/>
      </c>
      <c r="E16" s="44" t="str" cm="1">
        <f t="array" ref="E16">_xlfn.IFS(AND(OR(EN_PF_Year3!D20="Year 2",EN_PF_Year3!J14 =2),EN_PF_Year3!L46&lt;&gt;""),EN_PF_Year3!L46/3,AND(OR(EN_PF_YearY!D20="Year 2",EN_PF_YearY!J14 =2),EN_PF_YearY!L46&lt;&gt;""),EN_PF_YearY!L46/3,AND(OR(EN_PF_YearZ!D20="Year 2",EN_PF_YearZ!J14 =2),EN_PF_YearZ!L46&lt;&gt;""),EN_PF_YearZ!L46/3,AND(EN_PF_Year3!D20&lt;&gt;"Year 2",EN_PF_Year3!J14 &lt;&gt;2,EN_PF_YearY!D20&lt;&gt;"Year 2",EN_PF_YearY!J14 &lt;&gt;2,EN_PF_YearZ!D20&lt;&gt;"Year 2",EN_PF_YearZ!J14 &lt;&gt;2),"",AND(OR(EN_PF_Year3!D20="Year 2",EN_PF_Year3!J14 =2),EN_PF_Year3!L46=""),"",AND(OR(EN_PF_YearY!D20="Year 2",EN_PF_YearY!J14 =2),EN_PF_YearY!L46=""),"",AND(OR(EN_PF_YearZ!D20="Year 2",EN_PF_YearZ!J14 =2),EN_PF_YearZ!L46=""),"")</f>
        <v/>
      </c>
      <c r="F16" s="44" t="str" cm="1">
        <f t="array" ref="F16">_xlfn.IFS(AND(OR(EN_PF_Year3!D20="Year 3",EN_PF_Year3!J14 =3),EN_PF_Year3!L46&lt;&gt;""),EN_PF_Year3!L46/3,AND(OR(EN_PF_YearY!D20="Year 3",EN_PF_YearY!J14 =3),EN_PF_YearY!L46&lt;&gt;""),EN_PF_YearY!L46/3,AND(OR(EN_PF_YearZ!D20="Year 3",EN_PF_YearZ!J14 =3),EN_PF_YearZ!L46&lt;&gt;""),EN_PF_YearZ!L46/3,AND(EN_PF_Year3!D20&lt;&gt;"Year 3",EN_PF_Year3!J14 &lt;&gt;3,EN_PF_YearY!D20&lt;&gt;"Year 3",EN_PF_YearY!J14 &lt;&gt;3,EN_PF_YearZ!D20&lt;&gt;"Year 3",EN_PF_YearZ!J14 &lt;&gt;3),"",AND(OR(EN_PF_Year3!D20="Year 3",EN_PF_Year3!J14 =3),EN_PF_Year3!L46=""),"",AND(OR(EN_PF_YearY!D20="Year 3",EN_PF_YearY!J14 =3),EN_PF_YearY!L46=""),"",AND(OR(EN_PF_YearZ!D20="Year 3",EN_PF_YearZ!J14 =3),EN_PF_YearZ!L46=""),"")</f>
        <v/>
      </c>
      <c r="G16" s="40"/>
      <c r="H16" s="374" t="str" cm="1">
        <f t="array" ref="H16">_xlfn.IFS(AND(D16&lt;&gt;"",D17&lt;&gt;"",D18&lt;&gt;"",D19&lt;&gt;"", D20&lt;&gt;""),AVERAGE(D16:D20),OR(D16="",D17="",D18="",D19="", D20=""),"")</f>
        <v/>
      </c>
      <c r="I16" s="337" t="str" cm="1">
        <f t="array" ref="I16">_xlfn.IFS(AND(E16&lt;&gt;"",E17&lt;&gt;"",E18&lt;&gt;"",E19&lt;&gt;"", E20&lt;&gt;""),AVERAGE(E16:E20),OR(E16="",E17="",E18="",E19="", E20=""),"")</f>
        <v/>
      </c>
      <c r="J16" s="337" t="str" cm="1">
        <f t="array" ref="J16">_xlfn.IFS(AND(F16&lt;&gt;"",F17&lt;&gt;"",F18&lt;&gt;"",F19&lt;&gt;"", F20&lt;&gt;""),AVERAGE(F16:F20),OR(F16="",F17="",F18="",F19="", F20=""),"")</f>
        <v/>
      </c>
      <c r="K16" s="41"/>
      <c r="L16" s="67"/>
      <c r="M16" s="42"/>
      <c r="N16" s="42"/>
      <c r="O16" s="42"/>
      <c r="P16" s="42"/>
      <c r="Q16" s="42"/>
      <c r="R16" s="42"/>
      <c r="S16" s="42"/>
      <c r="T16" s="42"/>
      <c r="U16" s="42"/>
      <c r="V16" s="42"/>
      <c r="W16" s="35"/>
      <c r="X16" s="35"/>
      <c r="Y16" s="35"/>
      <c r="Z16" s="64">
        <v>0.25</v>
      </c>
      <c r="AA16" s="65">
        <v>0.57999999999999996</v>
      </c>
      <c r="AB16" s="65">
        <v>0.9</v>
      </c>
      <c r="AC16" s="35"/>
      <c r="AD16" s="35"/>
      <c r="AE16" s="35"/>
      <c r="AF16" s="35"/>
      <c r="AG16" s="35"/>
      <c r="AH16" s="35"/>
      <c r="AI16" s="35"/>
      <c r="AJ16" s="35"/>
      <c r="AK16" s="35"/>
      <c r="AL16" s="35"/>
    </row>
    <row r="17" spans="1:38" s="17" customFormat="1" ht="70.349999999999994" customHeight="1" x14ac:dyDescent="0.25">
      <c r="B17" s="372"/>
      <c r="C17" s="47" t="s">
        <v>648</v>
      </c>
      <c r="D17" s="44" t="str" cm="1">
        <f t="array" ref="D17">_xlfn.IFS(AND(OR(EN_PF_Year3!D20="Year 1",EN_PF_Year3!J14 =1),EN_PF_Year3!L51&lt;&gt;""),EN_PF_Year3!L51/3,AND(OR(EN_PF_YearY!D20="Year 1",EN_PF_YearY!J14 =1),EN_PF_YearY!L51&lt;&gt;""),EN_PF_YearY!L51/3,AND(OR(EN_PF_YearZ!D20="Year 1",EN_PF_YearZ!J14 =1),EN_PF_YearZ!L51&lt;&gt;""),EN_PF_YearZ!L51/3,AND(EN_PF_Year3!D20&lt;&gt;"Year 1",EN_PF_Year3!J14 &lt;&gt;1,EN_PF_YearY!D20&lt;&gt;"Year 1",EN_PF_YearY!J14 &lt;&gt;1,EN_PF_YearZ!D20&lt;&gt;"Year 1",EN_PF_YearZ!J14 &lt;&gt;1),"",AND(OR(EN_PF_Year3!D20="Year 1",EN_PF_Year3!J14 =1),EN_PF_Year3!L51=""),"",AND(OR(EN_PF_YearY!D20="Year 1",EN_PF_YearY!J14 =1),EN_PF_YearY!L51=""),"",AND(OR(EN_PF_YearZ!D20="Year 1",EN_PF_YearZ!J14 =1),EN_PF_YearZ!L51=""),"")</f>
        <v/>
      </c>
      <c r="E17" s="44" t="str" cm="1">
        <f t="array" ref="E17">_xlfn.IFS(AND(OR(EN_PF_Year3!D20="Year 2",EN_PF_Year3!J14 =2),EN_PF_Year3!L51&lt;&gt;""),EN_PF_Year3!L51/3,AND(OR(EN_PF_YearY!D20="Year 2",EN_PF_YearY!J14 =2),EN_PF_YearY!L51&lt;&gt;""),EN_PF_YearY!L51/3,AND(OR(EN_PF_YearZ!D20="Year 2",EN_PF_YearZ!J14 =2),EN_PF_YearZ!L51&lt;&gt;""),EN_PF_YearZ!L51/3,AND(EN_PF_Year3!D20&lt;&gt;"Year 2",EN_PF_Year3!J14 &lt;&gt;2,EN_PF_YearY!D20&lt;&gt;"Year 2",EN_PF_YearY!J14 &lt;&gt;2,EN_PF_YearZ!D20&lt;&gt;"Year 2",EN_PF_YearZ!J14 &lt;&gt;2),"",AND(OR(EN_PF_Year3!D20="Year 2",EN_PF_Year3!J14 =2),EN_PF_Year3!L51=""),"",AND(OR(EN_PF_YearY!D20="Year 2",EN_PF_YearY!J14 =2),EN_PF_YearY!L51=""),"",AND(OR(EN_PF_YearZ!D20="Year 2",EN_PF_YearZ!J14 =2),EN_PF_YearZ!L51=""),"")</f>
        <v/>
      </c>
      <c r="F17" s="44" t="str" cm="1">
        <f t="array" ref="F17">_xlfn.IFS(AND(OR(EN_PF_Year3!D20="Year 3",EN_PF_Year3!J14 =3),EN_PF_Year3!L51&lt;&gt;""),EN_PF_Year3!L51/3,AND(OR(EN_PF_YearY!D20="Year 3",EN_PF_YearY!J14 =3),EN_PF_YearY!L51&lt;&gt;""),EN_PF_YearY!L51/3,AND(OR(EN_PF_YearZ!D20="Year 3",EN_PF_YearZ!J14 =3),EN_PF_YearZ!L51&lt;&gt;""),EN_PF_YearZ!L51/3,AND(EN_PF_Year3!D20&lt;&gt;"Year 3",EN_PF_Year3!J14 &lt;&gt;3,EN_PF_YearY!D20&lt;&gt;"Year 3",EN_PF_YearY!J14 &lt;&gt;3,EN_PF_YearZ!D20&lt;&gt;"Year 3",EN_PF_YearZ!J14 &lt;&gt;3),"",AND(OR(EN_PF_Year3!D20="Year 3",EN_PF_Year3!J14 =3),EN_PF_Year3!L51=""),"",AND(OR(EN_PF_YearY!D20="Year 3",EN_PF_YearY!J14 =3),EN_PF_YearY!L51=""),"",AND(OR(EN_PF_YearZ!D20="Year 3",EN_PF_YearZ!J14 =3),EN_PF_YearZ!L51=""),"")</f>
        <v/>
      </c>
      <c r="G17" s="40"/>
      <c r="H17" s="375"/>
      <c r="I17" s="338"/>
      <c r="J17" s="338"/>
      <c r="K17" s="41"/>
      <c r="L17" s="67"/>
      <c r="M17" s="42"/>
      <c r="N17" s="42"/>
      <c r="O17" s="42"/>
      <c r="P17" s="42"/>
      <c r="Q17" s="42"/>
      <c r="R17" s="42"/>
      <c r="S17" s="42"/>
      <c r="T17" s="42"/>
      <c r="U17" s="42"/>
      <c r="V17" s="42"/>
      <c r="W17" s="35"/>
      <c r="X17" s="35"/>
      <c r="Y17" s="35"/>
      <c r="Z17" s="66"/>
      <c r="AA17" s="35"/>
      <c r="AB17" s="35"/>
      <c r="AC17" s="35"/>
      <c r="AD17" s="35"/>
      <c r="AE17" s="35"/>
      <c r="AF17" s="35"/>
      <c r="AG17" s="35"/>
      <c r="AH17" s="35"/>
      <c r="AI17" s="35"/>
      <c r="AJ17" s="35"/>
      <c r="AK17" s="35"/>
      <c r="AL17" s="35"/>
    </row>
    <row r="18" spans="1:38" s="17" customFormat="1" ht="70.349999999999994" customHeight="1" x14ac:dyDescent="0.25">
      <c r="B18" s="372"/>
      <c r="C18" s="47" t="s">
        <v>410</v>
      </c>
      <c r="D18" s="44" t="str" cm="1">
        <f t="array" ref="D18">_xlfn.IFS(AND(OR(EN_PF_Year3!D20="Year 1",EN_PF_Year3!J14 =1),EN_PF_Year3!L54&lt;&gt;""),EN_PF_Year3!L54/2,AND(OR(EN_PF_YearY!D20="Year 1",EN_PF_YearY!J14 =1),EN_PF_YearY!L54&lt;&gt;""),EN_PF_YearY!L54/2,AND(OR(EN_PF_YearZ!D20="Year 1",EN_PF_YearZ!J14 =1),EN_PF_YearZ!L54&lt;&gt;""),EN_PF_YearZ!L54/2,AND(EN_PF_Year3!D20&lt;&gt;"Year 1",EN_PF_Year3!J14 &lt;&gt;1,EN_PF_YearY!D20&lt;&gt;"Year 1",EN_PF_YearY!J14 &lt;&gt;1,EN_PF_YearZ!D20&lt;&gt;"Year 1",EN_PF_YearZ!J14 &lt;&gt;1),"",AND(OR(EN_PF_Year3!D20="Year 1",EN_PF_Year3!J14 =1),EN_PF_Year3!L54=""),"",AND(OR(EN_PF_YearY!D20="Year 1",EN_PF_YearY!J14 =1),EN_PF_YearY!L54=""),"",AND(OR(EN_PF_YearZ!D20="Year 1",EN_PF_YearZ!J14 =1),EN_PF_YearZ!L54=""),"")</f>
        <v/>
      </c>
      <c r="E18" s="44" t="str" cm="1">
        <f t="array" ref="E18">_xlfn.IFS(AND(OR(EN_PF_Year3!D20="Year 2",EN_PF_Year3!J14 =2),EN_PF_Year3!L54&lt;&gt;""),EN_PF_Year3!L54/2,AND(OR(EN_PF_YearY!D20="Year 2",EN_PF_YearY!J14 =2),EN_PF_YearY!L54&lt;&gt;""),EN_PF_YearY!L54/2,AND(OR(EN_PF_YearZ!D20="Year 2",EN_PF_YearZ!J14 =2),EN_PF_YearZ!L54&lt;&gt;""),EN_PF_YearZ!L54/2,AND(EN_PF_Year3!D20&lt;&gt;"Year 2",EN_PF_Year3!J14 &lt;&gt;2,EN_PF_YearY!D20&lt;&gt;"Year 2",EN_PF_YearY!J14 &lt;&gt;2,EN_PF_YearZ!D20&lt;&gt;"Year 2",EN_PF_YearZ!J14 &lt;&gt;2),"",AND(OR(EN_PF_Year3!D20="Year 2",EN_PF_Year3!J14 =2),EN_PF_Year3!L54=""),"",AND(OR(EN_PF_YearY!D20="Year 2",EN_PF_YearY!J14 =2),EN_PF_YearY!L54=""),"",AND(OR(EN_PF_YearZ!D20="Year 2",EN_PF_YearZ!J14 =2),EN_PF_YearZ!L54=""),"")</f>
        <v/>
      </c>
      <c r="F18" s="44" t="str" cm="1">
        <f t="array" ref="F18">_xlfn.IFS(AND(OR(EN_PF_Year3!D20="Year 3",EN_PF_Year3!J14 =3),EN_PF_Year3!L54&lt;&gt;""),EN_PF_Year3!L54/2,AND(OR(EN_PF_YearY!D20="Year 3",EN_PF_YearY!J14 =3),EN_PF_YearY!L54&lt;&gt;""),EN_PF_YearY!L54/2,AND(OR(EN_PF_YearZ!D20="Year 3",EN_PF_YearZ!J14 =3),EN_PF_YearZ!L54&lt;&gt;""),EN_PF_YearZ!L54/2,AND(EN_PF_Year3!D20&lt;&gt;"Year 3",EN_PF_Year3!J14 &lt;&gt;3,EN_PF_YearY!D20&lt;&gt;"Year 3",EN_PF_YearY!J14 &lt;&gt;3,EN_PF_YearZ!D20&lt;&gt;"Year 3",EN_PF_YearZ!J14 &lt;&gt;3),"",AND(OR(EN_PF_Year3!D20="Year 3",EN_PF_Year3!J14 =3),EN_PF_Year3!L54=""),"",AND(OR(EN_PF_YearY!D20="Year 3",EN_PF_YearY!J14 =3),EN_PF_YearY!L54=""),"",AND(OR(EN_PF_YearZ!D20="Year 3",EN_PF_YearZ!J14 =3),EN_PF_YearZ!L54=""),"")</f>
        <v/>
      </c>
      <c r="G18" s="40"/>
      <c r="H18" s="375"/>
      <c r="I18" s="338"/>
      <c r="J18" s="338"/>
      <c r="K18" s="41"/>
      <c r="L18" s="67"/>
      <c r="M18" s="42"/>
      <c r="N18" s="42"/>
      <c r="O18" s="42"/>
      <c r="P18" s="42"/>
      <c r="Q18" s="42"/>
      <c r="R18" s="42"/>
      <c r="S18" s="42"/>
      <c r="T18" s="42"/>
      <c r="U18" s="42"/>
      <c r="V18" s="42"/>
      <c r="W18" s="35"/>
      <c r="X18" s="35"/>
      <c r="Y18" s="35"/>
      <c r="Z18" s="66"/>
      <c r="AA18" s="35"/>
      <c r="AB18" s="35"/>
      <c r="AC18" s="35"/>
      <c r="AD18" s="35"/>
      <c r="AE18" s="35"/>
      <c r="AF18" s="35"/>
      <c r="AG18" s="35"/>
      <c r="AH18" s="35"/>
      <c r="AI18" s="35"/>
      <c r="AJ18" s="35"/>
      <c r="AK18" s="35"/>
      <c r="AL18" s="35"/>
    </row>
    <row r="19" spans="1:38" s="17" customFormat="1" ht="70.349999999999994" customHeight="1" x14ac:dyDescent="0.25">
      <c r="B19" s="372"/>
      <c r="C19" s="47" t="s">
        <v>649</v>
      </c>
      <c r="D19" s="44" t="str" cm="1">
        <f t="array" ref="D19">_xlfn.IFS(AND(OR(EN_PF_Year3!D20="Year 1",EN_PF_Year3!J14 =1),EN_PF_Year3!L56&lt;&gt;""),EN_PF_Year3!L56/2,AND(OR(EN_PF_YearY!D20="Year 1",EN_PF_YearY!J14 =1),EN_PF_YearY!L56&lt;&gt;""),EN_PF_YearY!L56/2,AND(OR(EN_PF_YearZ!D20="Year 1",EN_PF_YearZ!J14 =1),EN_PF_YearZ!L56&lt;&gt;""),EN_PF_YearZ!L56/2,AND(EN_PF_Year3!D20&lt;&gt;"Year 1",EN_PF_Year3!J14 &lt;&gt;1,EN_PF_YearY!D20&lt;&gt;"Year 1",EN_PF_YearY!J14 &lt;&gt;1,EN_PF_YearZ!D20&lt;&gt;"Year 1",EN_PF_YearZ!J14 &lt;&gt;1),"",AND(OR(EN_PF_Year3!D20="Year 1",EN_PF_Year3!J14 =1),EN_PF_Year3!L56=""),"",AND(OR(EN_PF_YearY!D20="Year 1",EN_PF_YearY!J14 =1),EN_PF_YearY!L56=""),"",AND(OR(EN_PF_YearZ!D20="Year 1",EN_PF_YearZ!J14 =1),EN_PF_YearZ!L56=""),"")</f>
        <v/>
      </c>
      <c r="E19" s="44" t="str" cm="1">
        <f t="array" ref="E19">_xlfn.IFS(AND(OR(EN_PF_Year3!D20="Year 2",EN_PF_Year3!J14 =2),EN_PF_Year3!L56&lt;&gt;""),EN_PF_Year3!L56/2,AND(OR(EN_PF_YearY!D20="Year 2",EN_PF_YearY!J14 =2),EN_PF_YearY!L56&lt;&gt;""),EN_PF_YearY!L56/2,AND(OR(EN_PF_YearZ!D20="Year 2",EN_PF_YearZ!J14 =2),EN_PF_YearZ!L56&lt;&gt;""),EN_PF_YearZ!L56/2,AND(EN_PF_Year3!D20&lt;&gt;"Year 2",EN_PF_Year3!J14 &lt;&gt;2,EN_PF_YearY!D20&lt;&gt;"Year 2",EN_PF_YearY!J14 &lt;&gt;2,EN_PF_YearZ!D20&lt;&gt;"Year 2",EN_PF_YearZ!J14 &lt;&gt;2),"",AND(OR(EN_PF_Year3!D20="Year 2",EN_PF_Year3!J14 =2),EN_PF_Year3!L56=""),"",AND(OR(EN_PF_YearY!D20="Year 2",EN_PF_YearY!J14 =2),EN_PF_YearY!L56=""),"",AND(OR(EN_PF_YearZ!D20="Year 2",EN_PF_YearZ!J14 =2),EN_PF_YearZ!L56=""),"")</f>
        <v/>
      </c>
      <c r="F19" s="44" t="str" cm="1">
        <f t="array" ref="F19">_xlfn.IFS(AND(OR(EN_PF_Year3!D20="Year 3",EN_PF_Year3!J14 =3),EN_PF_Year3!L56&lt;&gt;""),EN_PF_Year3!L56/2,AND(OR(EN_PF_YearY!D20="Year 3",EN_PF_YearY!J14 =3),EN_PF_YearY!L56&lt;&gt;""),EN_PF_YearY!L56/2,AND(OR(EN_PF_YearZ!D20="Year 3",EN_PF_YearZ!J14 =3),EN_PF_YearZ!L56&lt;&gt;""),EN_PF_YearZ!L56/2,AND(EN_PF_Year3!D20&lt;&gt;"Year 3",EN_PF_Year3!J14 &lt;&gt;3,EN_PF_YearY!D20&lt;&gt;"Year 3",EN_PF_YearY!J14 &lt;&gt;3,EN_PF_YearZ!D20&lt;&gt;"Year 3",EN_PF_YearZ!J14 &lt;&gt;3),"",AND(OR(EN_PF_Year3!D20="Year 3",EN_PF_Year3!J14 =3),EN_PF_Year3!L56=""),"",AND(OR(EN_PF_YearY!D20="Year 3",EN_PF_YearY!J14 =3),EN_PF_YearY!L56=""),"",AND(OR(EN_PF_YearZ!D20="Year 3",EN_PF_YearZ!J14 =3),EN_PF_YearZ!L56=""),"")</f>
        <v/>
      </c>
      <c r="G19" s="40"/>
      <c r="H19" s="375"/>
      <c r="I19" s="338"/>
      <c r="J19" s="338"/>
      <c r="K19" s="41"/>
      <c r="L19" s="67"/>
      <c r="M19" s="42"/>
      <c r="N19" s="42"/>
      <c r="O19" s="42"/>
      <c r="P19" s="42"/>
      <c r="Q19" s="42"/>
      <c r="R19" s="42"/>
      <c r="S19" s="42"/>
      <c r="T19" s="42"/>
      <c r="U19" s="42"/>
      <c r="V19" s="42"/>
      <c r="W19" s="35"/>
      <c r="X19" s="35"/>
      <c r="Y19" s="35"/>
      <c r="Z19" s="66"/>
      <c r="AA19" s="35"/>
      <c r="AB19" s="35"/>
      <c r="AC19" s="35"/>
      <c r="AD19" s="35"/>
      <c r="AE19" s="35"/>
      <c r="AF19" s="35"/>
      <c r="AG19" s="35"/>
      <c r="AH19" s="35"/>
      <c r="AI19" s="35"/>
      <c r="AJ19" s="35"/>
      <c r="AK19" s="35"/>
      <c r="AL19" s="35"/>
    </row>
    <row r="20" spans="1:38" s="17" customFormat="1" ht="70.349999999999994" customHeight="1" x14ac:dyDescent="0.25">
      <c r="B20" s="377"/>
      <c r="C20" s="47" t="s">
        <v>438</v>
      </c>
      <c r="D20" s="44" t="str" cm="1">
        <f t="array" ref="D20">_xlfn.IFS(AND(OR(EN_PF_Year3!D20="Year 1",EN_PF_Year3!J14 =1),EN_PF_Year3!L42&lt;&gt;""),EN_PF_Year3!L42/3,AND(OR(EN_PF_YearY!D20="Year 1",EN_PF_YearY!J14 =1),EN_PF_YearY!L42&lt;&gt;""),EN_PF_YearY!L42/3,AND(OR(EN_PF_YearZ!D20="Year 1",EN_PF_YearZ!J14 =1),EN_PF_YearZ!L42&lt;&gt;""),EN_PF_YearZ!L42/3,AND(EN_PF_Year3!D20&lt;&gt;"Year 1",EN_PF_Year3!J14 &lt;&gt;1,EN_PF_YearY!D20&lt;&gt;"Year 1",EN_PF_YearY!J14 &lt;&gt;1,EN_PF_YearZ!D20&lt;&gt;"Year 1",EN_PF_YearZ!J14 &lt;&gt;1),"",AND(OR(EN_PF_Year3!D20="Year 1",EN_PF_Year3!J14 =1),EN_PF_Year3!L42=""),"",AND(OR(EN_PF_YearY!D20="Year 1",EN_PF_YearY!J14 =1),EN_PF_YearY!L42=""),"",AND(OR(EN_PF_YearZ!D20="Year 1",EN_PF_YearZ!J14 =1),EN_PF_YearZ!L42=""),"")</f>
        <v/>
      </c>
      <c r="E20" s="44" t="str" cm="1">
        <f t="array" ref="E20">_xlfn.IFS(AND(OR(EN_PF_Year3!D20="Year 2",EN_PF_Year3!J14 =2),EN_PF_Year3!L42&lt;&gt;""),EN_PF_Year3!L42/3,AND(OR(EN_PF_YearY!D20="Year 2",EN_PF_YearY!J14 =2),EN_PF_YearY!L42&lt;&gt;""),EN_PF_YearY!L42/3,AND(OR(EN_PF_YearZ!D20="Year 2",EN_PF_YearZ!J14 =2),EN_PF_YearZ!L42&lt;&gt;""),EN_PF_YearZ!L42/3,AND(EN_PF_Year3!D20&lt;&gt;"Year 2",EN_PF_Year3!J14 &lt;&gt;2,EN_PF_YearY!D20&lt;&gt;"Year 2",EN_PF_YearY!J14 &lt;&gt;2,EN_PF_YearZ!D20&lt;&gt;"Year 2",EN_PF_YearZ!J14 &lt;&gt;2),"",AND(OR(EN_PF_Year3!D20="Year 2",EN_PF_Year3!J14 =2),EN_PF_Year3!L42=""),"",AND(OR(EN_PF_YearY!D20="Year 2",EN_PF_YearY!J14 =2),EN_PF_YearY!L42=""),"",AND(OR(EN_PF_YearZ!D20="Year 2",EN_PF_YearZ!J14 =2),EN_PF_YearZ!L42=""),"")</f>
        <v/>
      </c>
      <c r="F20" s="44" t="str" cm="1">
        <f t="array" ref="F20">_xlfn.IFS(AND(OR(EN_PF_Year3!D20="Year 3",EN_PF_Year3!J14 =3),EN_PF_Year3!L42&lt;&gt;""),EN_PF_Year3!L42/3,AND(OR(EN_PF_YearY!D20="Year 3",EN_PF_YearY!J14 =3),EN_PF_YearY!L42&lt;&gt;""),EN_PF_YearY!L42/3,AND(OR(EN_PF_YearZ!D20="Year 3",EN_PF_YearZ!J14 =3),EN_PF_YearZ!L42&lt;&gt;""),EN_PF_YearZ!L42/3,AND(EN_PF_Year3!D20&lt;&gt;"Year 3",EN_PF_Year3!J14 &lt;&gt;3,EN_PF_YearY!D20&lt;&gt;"Year 3",EN_PF_YearY!J14 &lt;&gt;3,EN_PF_YearZ!D20&lt;&gt;"Year 3",EN_PF_YearZ!J14 &lt;&gt;3),"",AND(OR(EN_PF_Year3!D20="Year 3",EN_PF_Year3!J14 =3),EN_PF_Year3!L42=""),"",AND(OR(EN_PF_YearY!D20="Year 3",EN_PF_YearY!J14 =3),EN_PF_YearY!L42=""),"",AND(OR(EN_PF_YearZ!D20="Year 3",EN_PF_YearZ!J14 =3),EN_PF_YearZ!L42=""),"")</f>
        <v/>
      </c>
      <c r="G20" s="40"/>
      <c r="H20" s="376"/>
      <c r="I20" s="339"/>
      <c r="J20" s="339"/>
      <c r="K20" s="41"/>
      <c r="L20" s="67"/>
      <c r="M20" s="42"/>
      <c r="N20" s="42"/>
      <c r="O20" s="42"/>
      <c r="P20" s="42"/>
      <c r="Q20" s="42"/>
      <c r="R20" s="42"/>
      <c r="S20" s="42"/>
      <c r="T20" s="42"/>
      <c r="U20" s="42"/>
      <c r="V20" s="42"/>
      <c r="W20" s="35"/>
      <c r="X20" s="35"/>
      <c r="Y20" s="35"/>
      <c r="Z20" s="64"/>
      <c r="AA20" s="65"/>
      <c r="AB20" s="65"/>
      <c r="AC20" s="35"/>
      <c r="AD20" s="35"/>
      <c r="AE20" s="35"/>
      <c r="AF20" s="35"/>
      <c r="AG20" s="35"/>
      <c r="AH20" s="35"/>
      <c r="AI20" s="35"/>
      <c r="AJ20" s="35"/>
      <c r="AK20" s="35"/>
      <c r="AL20" s="35"/>
    </row>
    <row r="21" spans="1:38" s="17" customFormat="1" ht="70.349999999999994" customHeight="1" x14ac:dyDescent="0.25">
      <c r="A21" s="70" t="s">
        <v>408</v>
      </c>
      <c r="B21" s="377" t="s">
        <v>437</v>
      </c>
      <c r="C21" s="70" t="s">
        <v>652</v>
      </c>
      <c r="D21" s="44" t="str" cm="1">
        <f t="array" ref="D21">_xlfn.IFS(AND(OR(EN_PF_Year3!D20="Year 1",EN_PF_Year3!J14 =1),EN_PF_Year3!L32&lt;&gt;""),EN_PF_Year3!L32/2,AND(OR(EN_PF_YearY!D20="Year 1",EN_PF_YearY!J14 =1),EN_PF_YearY!L32&lt;&gt;""),EN_PF_YearY!L32/2,AND(OR(EN_PF_YearZ!D20="Year 1",EN_PF_YearZ!J14 =1),EN_PF_YearZ!L32&lt;&gt;""),EN_PF_YearZ!L32/2,AND(EN_PF_Year3!D20&lt;&gt;"Year 1",EN_PF_Year3!J14 &lt;&gt;1,EN_PF_YearY!D20&lt;&gt;"Year 1",EN_PF_YearY!J14 &lt;&gt;1,EN_PF_YearZ!D20&lt;&gt;"Year 1",EN_PF_YearZ!J14 &lt;&gt;1),"",AND(OR(EN_PF_Year3!D20="Year 1",EN_PF_Year3!J14 =1),EN_PF_Year3!L32=""),"",AND(OR(EN_PF_YearY!D20="Year 1",EN_PF_YearY!J14 =1),EN_PF_YearY!L32=""),"",AND(OR(EN_PF_YearZ!D20="Year 1",EN_PF_YearZ!J14 =1),EN_PF_YearZ!L32=""),"")</f>
        <v/>
      </c>
      <c r="E21" s="44" t="str" cm="1">
        <f t="array" ref="E21">_xlfn.IFS(AND(OR(EN_PF_Year3!D20="Year 2",EN_PF_Year3!J14 =2),EN_PF_Year3!L32&lt;&gt;""),EN_PF_Year3!L32/2,AND(OR(EN_PF_YearY!D20="Year 2",EN_PF_YearY!J14 =2),EN_PF_YearY!L32&lt;&gt;""),EN_PF_YearY!L32/2,AND(OR(EN_PF_YearZ!D20="Year 2",EN_PF_YearZ!J14 =2),EN_PF_YearZ!L32&lt;&gt;""),EN_PF_YearZ!L32/2,AND(EN_PF_Year3!D20&lt;&gt;"Year 2",EN_PF_Year3!J14 &lt;&gt;2,EN_PF_YearY!D20&lt;&gt;"Year 2",EN_PF_YearY!J14 &lt;&gt;2,EN_PF_YearZ!D20&lt;&gt;"Year 2",EN_PF_YearZ!J14 &lt;&gt;2),"",AND(OR(EN_PF_Year3!D20="Year 2",EN_PF_Year3!J14 =2),EN_PF_Year3!L32=""),"",AND(OR(EN_PF_YearY!D20="Year 2",EN_PF_YearY!J14 =2),EN_PF_YearY!L32=""),"",AND(OR(EN_PF_YearZ!D20="Year 2",EN_PF_YearZ!J14 =2),EN_PF_YearZ!L32=""),"")</f>
        <v/>
      </c>
      <c r="F21" s="44" t="str" cm="1">
        <f t="array" ref="F21">_xlfn.IFS(AND(OR(EN_PF_Year3!D20="Year 3",EN_PF_Year3!J14 =3),EN_PF_Year3!L32&lt;&gt;""),EN_PF_Year3!L32/2,AND(OR(EN_PF_YearY!D20="Year 3",EN_PF_YearY!J14 =3),EN_PF_YearY!L32&lt;&gt;""),EN_PF_YearY!L32/2,AND(OR(EN_PF_YearZ!D20="Year 3",EN_PF_YearZ!J14 =3),EN_PF_YearZ!L32&lt;&gt;""),EN_PF_YearZ!L32/2,AND(EN_PF_Year3!D20&lt;&gt;"Year 3",EN_PF_Year3!J14 &lt;&gt;3,EN_PF_YearY!D20&lt;&gt;"Year 3",EN_PF_YearY!J14 &lt;&gt;3,EN_PF_YearZ!D20&lt;&gt;"Year 3",EN_PF_YearZ!J14 &lt;&gt;3),"",AND(OR(EN_PF_Year3!D20="Year 3",EN_PF_Year3!J14 =3),EN_PF_Year3!L32=""),"",AND(OR(EN_PF_YearY!D20="Year 3",EN_PF_YearY!J14 =3),EN_PF_YearY!L32=""),"",AND(OR(EN_PF_YearZ!D20="Year 3",EN_PF_YearZ!J14 =3),EN_PF_YearZ!L32=""),"")</f>
        <v/>
      </c>
      <c r="G21" s="40"/>
      <c r="H21" s="374" t="str" cm="1">
        <f t="array" ref="H21">_xlfn.IFS(AND(D21&lt;&gt;"",D22&lt;&gt;""),AVERAGE(D21:D22),OR(D21="",D22=""),"")</f>
        <v/>
      </c>
      <c r="I21" s="337" t="str" cm="1">
        <f t="array" ref="I21">_xlfn.IFS(AND(E21&lt;&gt;"",E22&lt;&gt;""),AVERAGE(E21:E22),OR(E21="",E22=""),"")</f>
        <v/>
      </c>
      <c r="J21" s="337" t="str" cm="1">
        <f t="array" ref="J21">_xlfn.IFS(AND(F21&lt;&gt;"",F22&lt;&gt;""),AVERAGE(F21:F22),OR(F21="",F22=""),"")</f>
        <v/>
      </c>
      <c r="K21" s="41"/>
      <c r="L21" s="67"/>
      <c r="M21" s="42"/>
      <c r="N21" s="42"/>
      <c r="O21" s="42"/>
      <c r="P21" s="42"/>
      <c r="Q21" s="42"/>
      <c r="R21" s="42"/>
      <c r="S21" s="42"/>
      <c r="T21" s="42"/>
      <c r="U21" s="42"/>
      <c r="V21" s="42"/>
      <c r="W21" s="35"/>
      <c r="X21" s="35"/>
      <c r="Y21" s="35"/>
      <c r="Z21" s="64">
        <v>0.25</v>
      </c>
      <c r="AA21" s="65">
        <v>0.57999999999999996</v>
      </c>
      <c r="AB21" s="65">
        <v>0.9</v>
      </c>
      <c r="AC21" s="35"/>
      <c r="AD21" s="35"/>
      <c r="AE21" s="35"/>
      <c r="AF21" s="35"/>
      <c r="AG21" s="35"/>
      <c r="AH21" s="35"/>
      <c r="AI21" s="35"/>
      <c r="AJ21" s="35"/>
      <c r="AK21" s="35"/>
      <c r="AL21" s="35"/>
    </row>
    <row r="22" spans="1:38" s="17" customFormat="1" ht="70.349999999999994" customHeight="1" x14ac:dyDescent="0.2">
      <c r="A22" s="37"/>
      <c r="B22" s="378"/>
      <c r="C22" s="47" t="s">
        <v>651</v>
      </c>
      <c r="D22" s="44" t="str" cm="1">
        <f t="array" ref="D22">_xlfn.IFS(AND(OR(EN_PF_Year3!D20="Year 1",EN_PF_Year3!J14 =1),EN_PF_Year3!L33&lt;&gt;""),EN_PF_Year3!L33/3,AND(OR(EN_PF_YearY!D20="Year 1",EN_PF_YearY!J14 =1),EN_PF_YearY!L33&lt;&gt;""),EN_PF_YearY!L33/3,AND(OR(EN_PF_YearZ!D20="Year 1",EN_PF_YearZ!J14 =1),EN_PF_YearZ!L33&lt;&gt;""),EN_PF_YearZ!L33/3,AND(EN_PF_Year3!D20&lt;&gt;"Year 1",EN_PF_Year3!J14 &lt;&gt;1,EN_PF_YearY!D20&lt;&gt;"Year 1",EN_PF_YearY!J14 &lt;&gt;1,EN_PF_YearZ!D20&lt;&gt;"Year 1",EN_PF_YearZ!J14 &lt;&gt;1),"",AND(OR(EN_PF_Year3!D20="Year 1",EN_PF_Year3!J14 =1),EN_PF_Year3!L33=""),"",AND(OR(EN_PF_YearY!D20="Year 1",EN_PF_YearY!J14 =1),EN_PF_YearY!L33=""),"",AND(OR(EN_PF_YearZ!D20="Year 1",EN_PF_YearZ!J14 =1),EN_PF_YearZ!L33=""),"")</f>
        <v/>
      </c>
      <c r="E22" s="44" t="str" cm="1">
        <f t="array" ref="E22">_xlfn.IFS(AND(OR(EN_PF_Year3!D20="Year 2",EN_PF_Year3!J14 =2),EN_PF_Year3!L33&lt;&gt;""),EN_PF_Year3!L33/3,AND(OR(EN_PF_YearY!D20="Year 2",EN_PF_YearY!J14 =2),EN_PF_YearY!L33&lt;&gt;""),EN_PF_YearY!L33/3,AND(OR(EN_PF_YearZ!D20="Year 2",EN_PF_YearZ!J14 =2),EN_PF_YearZ!L33&lt;&gt;""),EN_PF_YearZ!L33/3,AND(EN_PF_Year3!D20&lt;&gt;"Year 2",EN_PF_Year3!J14 &lt;&gt;2,EN_PF_YearY!D20&lt;&gt;"Year 2",EN_PF_YearY!J14 &lt;&gt;2,EN_PF_YearZ!D20&lt;&gt;"Year 2",EN_PF_YearZ!J14 &lt;&gt;2),"",AND(OR(EN_PF_Year3!D20="Year 2",EN_PF_Year3!J14 =2),EN_PF_Year3!L33=""),"",AND(OR(EN_PF_YearY!D20="Year 2",EN_PF_YearY!J14 =2),EN_PF_YearY!L33=""),"",AND(OR(EN_PF_YearZ!D20="Year 2",EN_PF_YearZ!J14 =2),EN_PF_YearZ!L33=""),"")</f>
        <v/>
      </c>
      <c r="F22" s="44" t="str" cm="1">
        <f t="array" ref="F22">_xlfn.IFS(AND(OR(EN_PF_Year3!D20="Year 3",EN_PF_Year3!J14 =3),EN_PF_Year3!L33&lt;&gt;""),EN_PF_Year3!L33/3,AND(OR(EN_PF_YearY!D20="Year 3",EN_PF_YearY!J14 =3),EN_PF_YearY!L33&lt;&gt;""),EN_PF_YearY!L33/3,AND(OR(EN_PF_YearZ!D20="Year 3",EN_PF_YearZ!J14 =3),EN_PF_YearZ!L33&lt;&gt;""),EN_PF_YearZ!L33/3,AND(EN_PF_Year3!D20&lt;&gt;"Year 3",EN_PF_Year3!J14 &lt;&gt;3,EN_PF_YearY!D20&lt;&gt;"Year 3",EN_PF_YearY!J14 &lt;&gt;3,EN_PF_YearZ!D20&lt;&gt;"Year 3",EN_PF_YearZ!J14 &lt;&gt;3),"",AND(OR(EN_PF_Year3!D20="Year 3",EN_PF_Year3!J14 =3),EN_PF_Year3!L33=""),"",AND(OR(EN_PF_YearY!D20="Year 3",EN_PF_YearY!J14 =3),EN_PF_YearY!L33=""),"",AND(OR(EN_PF_YearZ!D20="Year 3",EN_PF_YearZ!J14 =3),EN_PF_YearZ!L33=""),"")</f>
        <v/>
      </c>
      <c r="H22" s="376"/>
      <c r="I22" s="339"/>
      <c r="J22" s="339"/>
      <c r="W22" s="35"/>
      <c r="X22" s="35"/>
      <c r="Y22" s="35"/>
      <c r="Z22" s="66"/>
      <c r="AA22" s="35"/>
      <c r="AB22" s="35"/>
      <c r="AC22" s="35"/>
      <c r="AD22" s="35"/>
      <c r="AE22" s="35"/>
      <c r="AF22" s="35"/>
      <c r="AG22" s="35"/>
      <c r="AH22" s="35"/>
      <c r="AI22" s="35"/>
      <c r="AJ22" s="35"/>
      <c r="AK22" s="35"/>
      <c r="AL22" s="35"/>
    </row>
    <row r="23" spans="1:38" s="17" customFormat="1" ht="15" x14ac:dyDescent="0.2">
      <c r="W23" s="35"/>
      <c r="X23" s="35"/>
      <c r="Y23" s="35"/>
      <c r="Z23" s="66"/>
      <c r="AA23" s="35"/>
      <c r="AB23" s="35"/>
      <c r="AC23" s="35"/>
      <c r="AD23" s="35"/>
      <c r="AE23" s="35"/>
      <c r="AF23" s="35"/>
      <c r="AG23" s="35"/>
      <c r="AH23" s="35"/>
      <c r="AI23" s="35"/>
      <c r="AJ23" s="35"/>
      <c r="AK23" s="35"/>
      <c r="AL23" s="35"/>
    </row>
    <row r="24" spans="1:38" s="17" customFormat="1" ht="15" x14ac:dyDescent="0.2">
      <c r="W24" s="35"/>
      <c r="X24" s="35"/>
      <c r="Y24" s="35"/>
      <c r="Z24" s="64">
        <v>0.25</v>
      </c>
      <c r="AA24" s="65">
        <v>0.57999999999999996</v>
      </c>
      <c r="AB24" s="65">
        <v>0.9</v>
      </c>
      <c r="AC24" s="35"/>
      <c r="AD24" s="35"/>
      <c r="AE24" s="35"/>
      <c r="AF24" s="35"/>
      <c r="AG24" s="35"/>
      <c r="AH24" s="35"/>
      <c r="AI24" s="35"/>
      <c r="AJ24" s="35"/>
      <c r="AK24" s="35"/>
      <c r="AL24" s="35"/>
    </row>
    <row r="25" spans="1:38" s="17" customFormat="1" ht="15" x14ac:dyDescent="0.2">
      <c r="W25" s="35"/>
      <c r="X25" s="35"/>
      <c r="Y25" s="35"/>
      <c r="Z25" s="66"/>
      <c r="AA25" s="35"/>
      <c r="AB25" s="35"/>
      <c r="AC25" s="35"/>
      <c r="AD25" s="35"/>
      <c r="AE25" s="35"/>
      <c r="AF25" s="35"/>
      <c r="AG25" s="35"/>
      <c r="AH25" s="35"/>
      <c r="AI25" s="35"/>
      <c r="AJ25" s="35"/>
      <c r="AK25" s="35"/>
      <c r="AL25" s="35"/>
    </row>
    <row r="26" spans="1:38" s="17" customFormat="1" ht="15" x14ac:dyDescent="0.2">
      <c r="W26" s="35"/>
      <c r="X26" s="35"/>
      <c r="Y26" s="35"/>
      <c r="Z26" s="66"/>
      <c r="AA26" s="35"/>
      <c r="AB26" s="35"/>
      <c r="AC26" s="35"/>
      <c r="AD26" s="35"/>
      <c r="AE26" s="35"/>
      <c r="AF26" s="35"/>
      <c r="AG26" s="35"/>
      <c r="AH26" s="35"/>
      <c r="AI26" s="35"/>
      <c r="AJ26" s="35"/>
      <c r="AK26" s="35"/>
      <c r="AL26" s="35"/>
    </row>
    <row r="27" spans="1:38" s="17" customFormat="1" ht="15" x14ac:dyDescent="0.2">
      <c r="W27" s="35"/>
      <c r="X27" s="35"/>
      <c r="Y27" s="35"/>
      <c r="Z27" s="66"/>
      <c r="AA27" s="35"/>
      <c r="AB27" s="35"/>
      <c r="AC27" s="35"/>
      <c r="AD27" s="35"/>
      <c r="AE27" s="35"/>
      <c r="AF27" s="35"/>
      <c r="AG27" s="35"/>
      <c r="AH27" s="35"/>
      <c r="AI27" s="35"/>
      <c r="AJ27" s="35"/>
      <c r="AK27" s="35"/>
      <c r="AL27" s="35"/>
    </row>
    <row r="28" spans="1:38" s="17" customFormat="1" x14ac:dyDescent="0.2">
      <c r="W28" s="35"/>
      <c r="X28" s="35"/>
      <c r="Y28" s="35"/>
      <c r="Z28" s="35"/>
      <c r="AA28" s="35"/>
      <c r="AB28" s="35"/>
      <c r="AC28" s="35"/>
      <c r="AD28" s="35"/>
      <c r="AE28" s="35"/>
      <c r="AF28" s="35"/>
      <c r="AG28" s="35"/>
      <c r="AH28" s="35"/>
      <c r="AI28" s="35"/>
      <c r="AJ28" s="35"/>
      <c r="AK28" s="35"/>
      <c r="AL28" s="35"/>
    </row>
    <row r="29" spans="1:38" s="17" customFormat="1" x14ac:dyDescent="0.2">
      <c r="W29" s="35"/>
      <c r="X29" s="35"/>
      <c r="Y29" s="35"/>
      <c r="Z29" s="35"/>
      <c r="AA29" s="35"/>
      <c r="AB29" s="35"/>
      <c r="AC29" s="35"/>
      <c r="AD29" s="35"/>
      <c r="AE29" s="35"/>
      <c r="AF29" s="35"/>
      <c r="AG29" s="35"/>
      <c r="AH29" s="35"/>
      <c r="AI29" s="35"/>
      <c r="AJ29" s="35"/>
      <c r="AK29" s="35"/>
      <c r="AL29" s="35"/>
    </row>
    <row r="30" spans="1:38" s="17" customFormat="1" x14ac:dyDescent="0.2">
      <c r="W30" s="35"/>
      <c r="X30" s="35"/>
      <c r="Y30" s="35"/>
      <c r="Z30" s="35"/>
      <c r="AA30" s="35"/>
      <c r="AB30" s="35"/>
      <c r="AC30" s="35"/>
      <c r="AD30" s="35"/>
      <c r="AE30" s="35"/>
      <c r="AF30" s="35"/>
      <c r="AG30" s="35"/>
      <c r="AH30" s="35"/>
      <c r="AI30" s="35"/>
      <c r="AJ30" s="35"/>
      <c r="AK30" s="35"/>
      <c r="AL30" s="35"/>
    </row>
    <row r="31" spans="1:38" s="17" customFormat="1" x14ac:dyDescent="0.2">
      <c r="W31" s="35"/>
      <c r="X31" s="35"/>
      <c r="Y31" s="35"/>
      <c r="Z31" s="35"/>
      <c r="AA31" s="35"/>
      <c r="AB31" s="35"/>
      <c r="AC31" s="35"/>
      <c r="AD31" s="35"/>
      <c r="AE31" s="35"/>
      <c r="AF31" s="35"/>
      <c r="AG31" s="35"/>
      <c r="AH31" s="35"/>
      <c r="AI31" s="35"/>
      <c r="AJ31" s="35"/>
      <c r="AK31" s="35"/>
      <c r="AL31" s="35"/>
    </row>
    <row r="32" spans="1:38" s="17" customFormat="1" x14ac:dyDescent="0.2">
      <c r="W32" s="35"/>
      <c r="X32" s="35"/>
      <c r="Y32" s="35"/>
      <c r="Z32" s="35"/>
      <c r="AA32" s="35"/>
      <c r="AB32" s="35"/>
      <c r="AC32" s="35"/>
      <c r="AD32" s="35"/>
      <c r="AE32" s="35"/>
      <c r="AF32" s="35"/>
      <c r="AG32" s="35"/>
      <c r="AH32" s="35"/>
      <c r="AI32" s="35"/>
      <c r="AJ32" s="35"/>
      <c r="AK32" s="35"/>
      <c r="AL32" s="35"/>
    </row>
    <row r="33" spans="23:38" s="17" customFormat="1" x14ac:dyDescent="0.2">
      <c r="W33" s="35"/>
      <c r="X33" s="35"/>
      <c r="Y33" s="35"/>
      <c r="Z33" s="35"/>
      <c r="AA33" s="35"/>
      <c r="AB33" s="35"/>
      <c r="AC33" s="35"/>
      <c r="AD33" s="35"/>
      <c r="AE33" s="35"/>
      <c r="AF33" s="35"/>
      <c r="AG33" s="35"/>
      <c r="AH33" s="35"/>
      <c r="AI33" s="35"/>
      <c r="AJ33" s="35"/>
      <c r="AK33" s="35"/>
      <c r="AL33" s="35"/>
    </row>
    <row r="34" spans="23:38" s="17" customFormat="1" x14ac:dyDescent="0.2"/>
  </sheetData>
  <sheetProtection algorithmName="SHA-512" hashValue="mUUSswx5WFooVp9R7tRlDs0MxzNSibU+E1FpCPJRZizgA5FZjS/LEqrhMrqgXGsrmu7d5A6Rnh555F7raf1jFA==" saltValue="RBEasCyvNZiDf2qlsTu+4Q==" spinCount="100000" sheet="1" objects="1" scenarios="1"/>
  <dataConsolidate/>
  <mergeCells count="18">
    <mergeCell ref="B12:B15"/>
    <mergeCell ref="H12:H15"/>
    <mergeCell ref="I12:I15"/>
    <mergeCell ref="J12:J15"/>
    <mergeCell ref="B21:B22"/>
    <mergeCell ref="H21:H22"/>
    <mergeCell ref="I21:I22"/>
    <mergeCell ref="J21:J22"/>
    <mergeCell ref="B16:B20"/>
    <mergeCell ref="H16:H20"/>
    <mergeCell ref="I16:I20"/>
    <mergeCell ref="J16:J20"/>
    <mergeCell ref="A8:C8"/>
    <mergeCell ref="C4:M4"/>
    <mergeCell ref="D9:F9"/>
    <mergeCell ref="H9:J9"/>
    <mergeCell ref="D10:F10"/>
    <mergeCell ref="H10:J10"/>
  </mergeCells>
  <pageMargins left="0.7" right="0.7" top="0.75" bottom="0.75" header="0.3" footer="0.3"/>
  <pageSetup scale="21"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9" id="{169871B8-BAED-4C36-A4B6-70372770CEFB}">
            <xm:f>AND(EN_Progress_Results!$N$8="", OR(AND(EN_Progress_Results!$F$12&lt;&gt;"", EN_Progress_Results!$E$12="", AND($C$6&lt;&gt;"Year 2", $C$6&lt;&gt;"Year 3")), AND(EN_Progress_Results!$E$12="", EN_Progress_Results!$F$12=""), AND(EN_Progress_Results!$E$12&lt;&gt;"", $C$6="Qualitative Baseline")))</xm:f>
            <x14:dxf>
              <font>
                <color theme="0"/>
              </font>
              <fill>
                <patternFill>
                  <fgColor theme="0"/>
                  <bgColor theme="0"/>
                </patternFill>
              </fill>
              <border>
                <left style="thin">
                  <color auto="1"/>
                </left>
                <right/>
                <top/>
                <bottom/>
              </border>
            </x14:dxf>
          </x14:cfRule>
          <x14:cfRule type="expression" priority="12" id="{789F866F-B5CB-4C2E-BD7A-CBC38AB65541}">
            <xm:f>AND(EN_Progress_Results!$N$8&lt;&gt;"", OR($C$6="Qualitative Baseline", AND(EN_Progress_Results!$E$12="", EN_Progress_Results!$F$12=""), AND(EN_Progress_Results!$E$12="", EN_Progress_Results!$F$12&lt;&gt;"", $C$6&lt;&gt;"Year 2",$C$6&lt;&gt;"Year 3")))</xm:f>
            <x14:dxf>
              <font>
                <color theme="0"/>
              </font>
              <fill>
                <patternFill>
                  <fgColor theme="0"/>
                  <bgColor theme="0"/>
                </patternFill>
              </fill>
              <border>
                <left style="thin">
                  <color auto="1"/>
                </left>
                <right/>
                <top/>
                <bottom/>
                <vertical/>
                <horizontal/>
              </border>
            </x14:dxf>
          </x14:cfRule>
          <x14:cfRule type="expression" priority="14" id="{67065C3E-7686-4A29-B537-FAE952912ECB}">
            <xm:f>AND(EN_Progress_Results!$E$12="", EN_Progress_Results!$F$12&lt;&gt;"",OR($C$6="Year 2", $C$6="Year 3"), EN_Progress_Results!$N$8="")</xm:f>
            <x14:dxf>
              <font>
                <color theme="0"/>
              </font>
              <fill>
                <patternFill>
                  <fgColor theme="0"/>
                  <bgColor theme="0"/>
                </patternFill>
              </fill>
              <border>
                <left style="thin">
                  <color auto="1"/>
                </left>
                <right style="thin">
                  <color auto="1"/>
                </right>
                <top/>
                <bottom/>
                <vertical/>
                <horizontal/>
              </border>
            </x14:dxf>
          </x14:cfRule>
          <xm:sqref>D11:D22</xm:sqref>
        </x14:conditionalFormatting>
        <x14:conditionalFormatting xmlns:xm="http://schemas.microsoft.com/office/excel/2006/main">
          <x14:cfRule type="expression" priority="13" id="{6E9EF121-4861-4927-8DBE-962F21866C51}">
            <xm:f>AND(EN_Progress_Results!$N$8&lt;&gt;"", OR($C$6="Qualitative Baseline", AND(EN_Progress_Results!$E$12="", EN_Progress_Results!$F$12=""), AND(EN_Progress_Results!$E$12="", EN_Progress_Results!$F$12&lt;&gt;"", $C$6&lt;&gt;"Year 2",$C$6&lt;&gt;"Year 3")))</xm:f>
            <x14:dxf>
              <font>
                <color theme="0"/>
              </font>
              <fill>
                <patternFill>
                  <fgColor theme="0"/>
                  <bgColor theme="0"/>
                </patternFill>
              </fill>
              <border>
                <left/>
                <right/>
                <top/>
                <bottom/>
                <vertical/>
                <horizontal/>
              </border>
            </x14:dxf>
          </x14:cfRule>
          <xm:sqref>H12:H22</xm:sqref>
        </x14:conditionalFormatting>
        <x14:conditionalFormatting xmlns:xm="http://schemas.microsoft.com/office/excel/2006/main">
          <x14:cfRule type="expression" priority="7" id="{4653180A-A965-448D-9967-4137BB4B42B6}">
            <xm:f>AND(EN_Progress_Results!$N$8="", OR(AND(EN_Progress_Results!$F$12&lt;&gt;"", EN_Progress_Results!$E$12="", AND($C$6&lt;&gt;"Year 2", $C$6&lt;&gt;"Year 3")), AND(EN_Progress_Results!$E$12="", EN_Progress_Results!$F$12=""), AND(EN_Progress_Results!$E$12&lt;&gt;"", $C$6="Qualitative Baseline")))</xm:f>
            <x14:dxf>
              <font>
                <color theme="0"/>
              </font>
              <fill>
                <patternFill>
                  <fgColor theme="0"/>
                  <bgColor theme="0"/>
                </patternFill>
              </fill>
              <border>
                <left/>
                <right/>
                <top/>
                <bottom/>
                <vertical/>
                <horizontal/>
              </border>
            </x14:dxf>
          </x14:cfRule>
          <x14:cfRule type="expression" priority="11" id="{23B9BB92-D600-4E82-BC80-67C201D64957}">
            <xm:f>AND(EN_Progress_Results!$E$12="", EN_Progress_Results!$F$12&lt;&gt;"",OR($C$6="Year 2", $C$6="Year 3"), EN_Progress_Results!$N$8="")</xm:f>
            <x14:dxf>
              <font>
                <color theme="0"/>
              </font>
              <fill>
                <patternFill>
                  <fgColor theme="0"/>
                  <bgColor theme="0"/>
                </patternFill>
              </fill>
              <border>
                <left/>
                <right style="thin">
                  <color auto="1"/>
                </right>
                <top/>
                <bottom/>
                <vertical/>
                <horizontal/>
              </border>
            </x14:dxf>
          </x14:cfRule>
          <xm:sqref>H11:H22</xm:sqref>
        </x14:conditionalFormatting>
        <x14:conditionalFormatting xmlns:xm="http://schemas.microsoft.com/office/excel/2006/main">
          <x14:cfRule type="expression" priority="8" id="{2F168BF2-25DD-48D9-AD54-7925DAA1CDB0}">
            <xm:f>AND(EN_Progress_Results!$E$12="", EN_Progress_Results!$F$12&lt;&gt;"",OR($C$6="Year 2",$C$6="Year 3"), EN_Progress_Results!$N$8&lt;&gt;"")</xm:f>
            <x14:dxf>
              <font>
                <color theme="0"/>
              </font>
              <fill>
                <patternFill>
                  <fgColor theme="0"/>
                  <bgColor theme="0"/>
                </patternFill>
              </fill>
              <border>
                <left/>
                <right style="thin">
                  <color auto="1"/>
                </right>
                <top/>
                <bottom/>
                <vertical/>
                <horizontal/>
              </border>
            </x14:dxf>
          </x14:cfRule>
          <xm:sqref>D11:D22 H11:H22</xm:sqref>
        </x14:conditionalFormatting>
        <x14:conditionalFormatting xmlns:xm="http://schemas.microsoft.com/office/excel/2006/main">
          <x14:cfRule type="expression" priority="3" id="{A0289B24-6FD4-4213-8103-5D751297B0C9}">
            <xm:f>OR($I$8="Evaluation Year 2 not applicable in this performance period", $D$8="Evaluation Year 1 not applicable in this performance period", $A$8="Year 1 results will be displayed after Global Fund's validation", AND($A$8="Year 2 results will be displayed after Global Fund's validation",EN_Progress_Results!$D$7&lt;&gt;""), $C$6="Qualitative Baseline",AND(EN_Progress_Results!$F$12="",EN_Progress_Results!$G$12&lt;&gt;"",$C$6&lt;&gt;"Year 3"),AND(EN_Progress_Results!$I$7&lt;&gt;"",$A$8="Year 3 results will be displayed after Global Fund's validation"))</xm:f>
            <x14:dxf>
              <font>
                <color theme="0"/>
              </font>
              <fill>
                <patternFill>
                  <fgColor theme="0"/>
                  <bgColor theme="0"/>
                </patternFill>
              </fill>
              <border>
                <left/>
                <right/>
                <top/>
                <bottom/>
                <vertical/>
                <horizontal/>
              </border>
            </x14:dxf>
          </x14:cfRule>
          <x14:cfRule type="expression" priority="4" id="{E2A49BE4-6FE4-4325-8808-00C8B83CB7E6}">
            <xm:f>AND(EN_Progress_Results!$E$12="", EN_Progress_Results!$F$12="",EN_Progress_Results!$G$12&lt;&gt;"",$C$6="Year 3")</xm:f>
            <x14:dxf>
              <font>
                <color theme="0"/>
              </font>
              <fill>
                <patternFill>
                  <fgColor theme="0"/>
                  <bgColor theme="0"/>
                </patternFill>
              </fill>
              <border>
                <left/>
                <right style="thin">
                  <color auto="1"/>
                </right>
                <top/>
                <bottom/>
                <vertical/>
                <horizontal/>
              </border>
            </x14:dxf>
          </x14:cfRule>
          <x14:cfRule type="expression" priority="5" id="{DC4F5DD9-A2DF-4C71-9E36-AE0F5E442B27}">
            <xm:f>OR(AND(EN_Progress_Results!$E$12&lt;&gt;"", $C$6="Year 1"), AND(EN_Progress_Results!$F$12="", EN_Progress_Results!$E$12&lt;&gt;"", OR($C$6="Year 2", AND(EN_Progress_Results!$G$12="", $C$6="Year 3"))))</xm:f>
            <x14:dxf>
              <font>
                <color theme="0"/>
              </font>
              <fill>
                <patternFill>
                  <fgColor theme="0"/>
                  <bgColor theme="0"/>
                </patternFill>
              </fill>
              <border>
                <left style="thin">
                  <color auto="1"/>
                </left>
                <right/>
                <top/>
                <bottom/>
                <vertical/>
                <horizontal/>
              </border>
            </x14:dxf>
          </x14:cfRule>
          <x14:cfRule type="expression" priority="6" id="{F3CABF6E-DCB1-4911-A370-BC69715B1311}">
            <xm:f>AND(EN_Progress_Results!$E$12&lt;&gt;"", EN_Progress_Results!$F$12="", EN_Progress_Results!$G$12&lt;&gt;"", $C$6="Year 3")</xm:f>
            <x14:dxf>
              <font>
                <color theme="0"/>
              </font>
              <fill>
                <patternFill>
                  <fgColor theme="0"/>
                  <bgColor theme="0"/>
                </patternFill>
              </fill>
              <border>
                <left style="thin">
                  <color auto="1"/>
                </left>
                <right style="thin">
                  <color auto="1"/>
                </right>
                <top/>
                <bottom/>
                <vertical/>
                <horizontal/>
              </border>
            </x14:dxf>
          </x14:cfRule>
          <xm:sqref>E11:E22 I11:I22</xm:sqref>
        </x14:conditionalFormatting>
        <x14:conditionalFormatting xmlns:xm="http://schemas.microsoft.com/office/excel/2006/main">
          <x14:cfRule type="expression" priority="1" id="{C0DE1CD3-3207-46C0-93DE-7AB3426A86C3}">
            <xm:f>OR($C$6="Qualitative Baseline", AND(EN_Progress_Results!$F$12="", EN_Progress_Results!$G$12=""), AND(EN_Progress_Results!$F$12="", EN_Progress_Results!$G$12&lt;&gt;"", $C$6&lt;&gt;"Year 3"), AND(EN_Progress_Results!$F$12&lt;&gt;"", $C$6&lt;&gt;"Year 3",  $C$6&lt;&gt;"Year 2"))</xm:f>
            <x14:dxf>
              <font>
                <color theme="0"/>
              </font>
              <fill>
                <patternFill>
                  <fgColor theme="0"/>
                  <bgColor theme="0"/>
                </patternFill>
              </fill>
              <border>
                <left/>
                <right/>
                <top/>
                <bottom/>
                <vertical/>
                <horizontal/>
              </border>
            </x14:dxf>
          </x14:cfRule>
          <x14:cfRule type="expression" priority="2" id="{F0359440-4FB7-4D90-A37A-761686F87CEC}">
            <xm:f>OR(AND(EN_Progress_Results!$F$12&lt;&gt;"", $C$6="Year 2"), AND(EN_Progress_Results!$G$12="", EN_Progress_Results!$F$12&lt;&gt;"", $C$6="Year 3"))</xm:f>
            <x14:dxf>
              <font>
                <color theme="0"/>
              </font>
              <fill>
                <patternFill>
                  <fgColor theme="0"/>
                  <bgColor theme="0"/>
                </patternFill>
              </fill>
              <border>
                <left style="thin">
                  <color auto="1"/>
                </left>
                <right/>
                <top/>
                <bottom/>
                <vertical/>
                <horizontal/>
              </border>
            </x14:dxf>
          </x14:cfRule>
          <xm:sqref>F11:F22 J11:J22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503ADDD-3C29-4D8C-BC0F-69460C7119FF}">
          <x14:formula1>
            <xm:f>EN_PF_DROPDOWN!$A$51:$A$53</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ED695-5D18-4E1F-9249-21C2511A1364}">
  <sheetPr codeName="Sheet6">
    <tabColor rgb="FFFF00FF"/>
  </sheetPr>
  <dimension ref="A1:Z99"/>
  <sheetViews>
    <sheetView topLeftCell="B13" zoomScale="110" zoomScaleNormal="110" workbookViewId="0">
      <selection activeCell="I16" sqref="I16"/>
    </sheetView>
  </sheetViews>
  <sheetFormatPr defaultColWidth="8.625" defaultRowHeight="14.25" x14ac:dyDescent="0.2"/>
  <cols>
    <col min="1" max="1" width="0.375" style="23" customWidth="1"/>
    <col min="2" max="2" width="5.625" style="23" customWidth="1"/>
    <col min="3" max="3" width="30.375" style="23" customWidth="1"/>
    <col min="4" max="4" width="15.125" style="23" customWidth="1"/>
    <col min="5" max="5" width="1.625" style="23" customWidth="1"/>
    <col min="6" max="6" width="14.375" style="23" customWidth="1"/>
    <col min="7" max="7" width="73.125" style="23" customWidth="1"/>
    <col min="8" max="8" width="27.625" style="23" customWidth="1"/>
    <col min="9" max="9" width="12.875" style="23" customWidth="1"/>
    <col min="10" max="10" width="27.625" style="23" customWidth="1"/>
    <col min="11" max="11" width="12.875" style="23" customWidth="1"/>
    <col min="12" max="12" width="25.125" style="23" customWidth="1"/>
    <col min="13" max="17" width="5.875" style="23" customWidth="1"/>
    <col min="18" max="16384" width="8.625" style="23"/>
  </cols>
  <sheetData>
    <row r="1" spans="1:26" x14ac:dyDescent="0.2">
      <c r="A1" s="17"/>
      <c r="B1" s="17"/>
      <c r="C1" s="17"/>
      <c r="D1" s="17"/>
      <c r="E1" s="17"/>
      <c r="F1" s="17"/>
      <c r="G1" s="17"/>
      <c r="H1" s="17"/>
      <c r="I1" s="17"/>
      <c r="J1" s="17"/>
      <c r="K1" s="17"/>
      <c r="L1" s="17"/>
      <c r="M1" s="17"/>
    </row>
    <row r="2" spans="1:26" x14ac:dyDescent="0.2">
      <c r="A2" s="17"/>
      <c r="B2" s="17"/>
      <c r="C2" s="17"/>
      <c r="D2" s="17"/>
      <c r="E2" s="17"/>
      <c r="F2" s="17"/>
      <c r="G2" s="17"/>
      <c r="H2" s="17"/>
      <c r="I2" s="17"/>
      <c r="J2" s="17"/>
      <c r="K2" s="17"/>
      <c r="L2" s="17"/>
      <c r="M2" s="17"/>
    </row>
    <row r="3" spans="1:26" s="1" customFormat="1" ht="33.75" x14ac:dyDescent="0.2">
      <c r="A3" s="2"/>
      <c r="B3" s="2"/>
      <c r="C3" s="2"/>
      <c r="D3" s="2"/>
      <c r="E3" s="2"/>
      <c r="F3" s="2"/>
      <c r="G3" s="2"/>
      <c r="H3" s="2"/>
      <c r="I3" s="2"/>
      <c r="J3" s="2"/>
      <c r="K3" s="2"/>
      <c r="L3" s="2"/>
      <c r="M3" s="2"/>
      <c r="N3" s="3"/>
      <c r="O3" s="3"/>
      <c r="P3" s="3"/>
      <c r="Q3" s="3"/>
      <c r="U3" s="3"/>
      <c r="V3" s="3"/>
      <c r="W3" s="3"/>
      <c r="X3" s="3"/>
      <c r="Y3" s="3"/>
      <c r="Z3" s="3"/>
    </row>
    <row r="4" spans="1:26" ht="33.75" x14ac:dyDescent="0.2">
      <c r="A4" s="17"/>
      <c r="B4" s="380" t="s">
        <v>152</v>
      </c>
      <c r="C4" s="381"/>
      <c r="D4" s="381"/>
      <c r="E4" s="381"/>
      <c r="F4" s="381"/>
      <c r="G4" s="381"/>
      <c r="H4" s="6"/>
      <c r="I4" s="6"/>
      <c r="J4" s="6"/>
      <c r="K4" s="6"/>
      <c r="L4" s="6"/>
      <c r="M4" s="6"/>
      <c r="N4" s="50"/>
      <c r="O4" s="50"/>
      <c r="P4" s="50"/>
      <c r="Q4" s="3"/>
      <c r="R4" s="3"/>
      <c r="S4" s="3"/>
      <c r="T4" s="3"/>
      <c r="U4" s="3"/>
      <c r="V4" s="3"/>
    </row>
    <row r="5" spans="1:26" ht="15" customHeight="1" thickBot="1" x14ac:dyDescent="0.25">
      <c r="A5" s="17"/>
      <c r="B5" s="17"/>
      <c r="C5" s="17"/>
      <c r="D5" s="17"/>
      <c r="E5" s="17"/>
      <c r="F5" s="17"/>
      <c r="G5" s="17"/>
      <c r="H5" s="17"/>
      <c r="I5" s="17"/>
      <c r="J5" s="17"/>
      <c r="K5" s="17"/>
      <c r="L5" s="17"/>
      <c r="M5" s="17"/>
    </row>
    <row r="6" spans="1:26" ht="16.5" thickBot="1" x14ac:dyDescent="0.25">
      <c r="A6" s="17"/>
      <c r="B6" s="382" t="s">
        <v>145</v>
      </c>
      <c r="C6" s="383"/>
      <c r="D6" s="383"/>
      <c r="E6" s="56"/>
      <c r="F6" s="10" t="s">
        <v>144</v>
      </c>
      <c r="G6" s="17"/>
      <c r="H6" s="17"/>
      <c r="I6" s="17"/>
      <c r="J6" s="17"/>
      <c r="K6" s="17"/>
      <c r="L6" s="17"/>
      <c r="M6" s="17"/>
    </row>
    <row r="7" spans="1:26" ht="18" customHeight="1" thickBot="1" x14ac:dyDescent="0.25">
      <c r="A7" s="17"/>
      <c r="B7" s="384" t="s">
        <v>147</v>
      </c>
      <c r="C7" s="384"/>
      <c r="D7" s="7"/>
      <c r="E7" s="56"/>
      <c r="F7" s="385" t="s">
        <v>204</v>
      </c>
      <c r="G7" s="17"/>
      <c r="H7" s="17"/>
      <c r="I7" s="17"/>
      <c r="J7" s="17"/>
      <c r="K7" s="17"/>
      <c r="L7" s="17"/>
      <c r="M7" s="17"/>
    </row>
    <row r="8" spans="1:26" ht="18" customHeight="1" thickBot="1" x14ac:dyDescent="0.25">
      <c r="A8" s="17"/>
      <c r="B8" s="384" t="s">
        <v>201</v>
      </c>
      <c r="C8" s="384"/>
      <c r="D8" s="8"/>
      <c r="E8" s="17"/>
      <c r="F8" s="386"/>
      <c r="G8" s="17"/>
      <c r="H8" s="17"/>
      <c r="I8" s="17"/>
      <c r="J8" s="17"/>
      <c r="K8" s="17"/>
      <c r="L8" s="17"/>
      <c r="M8" s="17"/>
    </row>
    <row r="9" spans="1:26" ht="18" customHeight="1" thickBot="1" x14ac:dyDescent="0.25">
      <c r="A9" s="17"/>
      <c r="B9" s="384" t="s">
        <v>146</v>
      </c>
      <c r="C9" s="384"/>
      <c r="D9" s="14"/>
      <c r="E9" s="17"/>
      <c r="F9" s="386"/>
      <c r="G9" s="17"/>
      <c r="H9" s="17"/>
      <c r="I9" s="17"/>
      <c r="J9" s="17"/>
      <c r="K9" s="17"/>
      <c r="L9" s="17"/>
      <c r="M9" s="17"/>
    </row>
    <row r="10" spans="1:26" s="51" customFormat="1" ht="15" customHeight="1" thickBot="1" x14ac:dyDescent="0.25">
      <c r="A10" s="57"/>
      <c r="B10" s="57"/>
      <c r="C10" s="57"/>
      <c r="D10" s="57"/>
      <c r="E10" s="57"/>
      <c r="F10" s="57"/>
      <c r="G10" s="57"/>
      <c r="H10" s="57"/>
      <c r="I10" s="57"/>
      <c r="J10" s="57"/>
      <c r="K10" s="57"/>
      <c r="L10" s="57"/>
      <c r="M10" s="57"/>
    </row>
    <row r="11" spans="1:26" s="1" customFormat="1" ht="18" customHeight="1" thickBot="1" x14ac:dyDescent="0.25">
      <c r="A11" s="390" t="s">
        <v>478</v>
      </c>
      <c r="B11" s="390"/>
      <c r="C11" s="390"/>
      <c r="D11" s="390"/>
      <c r="E11" s="390"/>
      <c r="F11" s="390"/>
      <c r="G11" s="390"/>
      <c r="H11" s="390"/>
      <c r="I11" s="390"/>
      <c r="J11" s="390"/>
      <c r="K11" s="390"/>
      <c r="L11" s="390"/>
      <c r="M11" s="390"/>
      <c r="N11" s="17"/>
      <c r="O11" s="23"/>
      <c r="P11" s="23"/>
      <c r="Q11" s="23"/>
    </row>
    <row r="12" spans="1:26" ht="15" thickBot="1" x14ac:dyDescent="0.25">
      <c r="A12" s="17"/>
      <c r="B12" s="17"/>
      <c r="C12" s="17"/>
      <c r="D12" s="17"/>
      <c r="E12" s="17"/>
      <c r="F12" s="17"/>
      <c r="G12" s="17"/>
      <c r="H12" s="17"/>
      <c r="I12" s="17"/>
      <c r="J12" s="17"/>
      <c r="K12" s="17"/>
      <c r="L12" s="17"/>
      <c r="M12" s="17"/>
      <c r="N12" s="17"/>
      <c r="R12" s="1"/>
    </row>
    <row r="13" spans="1:26" ht="23.45" customHeight="1" thickBot="1" x14ac:dyDescent="0.25">
      <c r="A13" s="17"/>
      <c r="B13" s="396" t="s">
        <v>215</v>
      </c>
      <c r="C13" s="397"/>
      <c r="D13" s="7" t="str">
        <f>EN_EvolutionThreshold_Transfer!A6</f>
        <v>CCM Lao PDR</v>
      </c>
      <c r="E13" s="17"/>
      <c r="F13" s="17"/>
      <c r="G13" s="17"/>
      <c r="H13" s="17"/>
      <c r="I13" s="17"/>
      <c r="J13" s="17"/>
      <c r="K13" s="17"/>
      <c r="L13" s="17"/>
      <c r="M13" s="17"/>
      <c r="N13" s="17"/>
      <c r="R13" s="1"/>
    </row>
    <row r="14" spans="1:26" ht="15" customHeight="1" x14ac:dyDescent="0.2">
      <c r="A14" s="17"/>
      <c r="B14" s="17"/>
      <c r="C14" s="17"/>
      <c r="D14" s="17"/>
      <c r="E14" s="17"/>
      <c r="F14" s="17"/>
      <c r="G14" s="17"/>
      <c r="H14" s="17"/>
      <c r="I14" s="17"/>
      <c r="J14" s="17"/>
      <c r="K14" s="17"/>
      <c r="L14" s="17"/>
      <c r="M14" s="17"/>
      <c r="N14" s="17"/>
    </row>
    <row r="15" spans="1:26" s="52" customFormat="1" ht="47.25" x14ac:dyDescent="0.2">
      <c r="A15" s="58"/>
      <c r="B15" s="48" t="s">
        <v>148</v>
      </c>
      <c r="C15" s="391" t="s">
        <v>150</v>
      </c>
      <c r="D15" s="392"/>
      <c r="E15" s="393"/>
      <c r="F15" s="49" t="s">
        <v>156</v>
      </c>
      <c r="G15" s="98" t="s">
        <v>479</v>
      </c>
      <c r="H15" s="59" t="s">
        <v>143</v>
      </c>
      <c r="I15" s="49" t="s">
        <v>172</v>
      </c>
      <c r="J15" s="48" t="s">
        <v>163</v>
      </c>
      <c r="K15" s="17"/>
      <c r="L15" s="17"/>
      <c r="M15" s="17"/>
      <c r="N15" s="17"/>
      <c r="O15" s="23"/>
      <c r="P15" s="23"/>
      <c r="Q15" s="23"/>
    </row>
    <row r="16" spans="1:26" ht="100.35" customHeight="1" x14ac:dyDescent="0.2">
      <c r="A16" s="17"/>
      <c r="B16" s="322" t="s">
        <v>110</v>
      </c>
      <c r="C16" s="387" t="s">
        <v>175</v>
      </c>
      <c r="D16" s="388"/>
      <c r="E16" s="389"/>
      <c r="F16" s="211" t="str">
        <f>EN_Progress_Results!N51</f>
        <v>2</v>
      </c>
      <c r="G16" s="61" t="str" cm="1">
        <f t="array" ref="G16">IF(I16="",_xlfn.IFS(F16=EN_PF_DROPDOWN!S3,EN_PF_DROPDOWN!U3,F16=EN_PF_DROPDOWN!S4,EN_PF_DROPDOWN!U4,F16=EN_PF_DROPDOWN!S5,EN_PF_DROPDOWN!U5,F16=EN_PF_DROPDOWN!S6,EN_PF_DROPDOWN!U6,F16="",""),_xlfn.IFS(I16=EN_PF_DROPDOWN!S3,EN_PF_DROPDOWN!U3,I16=EN_PF_DROPDOWN!S4,EN_PF_DROPDOWN!U4,I16=EN_PF_DROPDOWN!S5,EN_PF_DROPDOWN!U5,I16=EN_PF_DROPDOWN!S6,EN_PF_DROPDOWN!U6,I16="",""))</f>
        <v xml:space="preserve">The Coordinating Mechanism ensures the availability, quality and analysis of information for its discussions with PRs, CTs and other stakeholders. Regular data-based discussions and decisions inform key GF processes (e.g., funding request preparation, program revisions, oversight of implementation, etc.) without systematic linkages with the overall health response. </v>
      </c>
      <c r="H16" s="379" t="str">
        <f>EN_EvolutionThreshold_Transfer!G17</f>
        <v>Summary of Findings - Oversight
A current costed Oversight Plan is in place and is being implemented on schedule.  OC committee membership is aligned with the grant.  The committee has a TOR and updated membership list.  Meetings are held regularly prior to CCM meetings and are well-documented.  There is good sharing and presentation of key grant documents: reports, proposals, PU/DRs, Global Fund Guidance and so on. Significant and persistent attention is paid to the tracking of co-financing commitments.
A formal/regularised risk management approach/process has not been adopted into the oversight process.  There does not appear to be a current grant risk and mitigation plan in place for the OC to regularly check in on.  The OC has not been involved in any risk identification/prioritization exercises recently.
Whilst data sharing is exemplary there is not much evidence of performance data analysis, distillation of critical performance issues, bottleneck solution brainstorming or requests from OC to CCM for a decision or action to unblock a bottleneck.  There are duplicative progress updates from PR into both OC and CCM.  It was noted that site visits often find persistent recurring issues that remain unresolved.</v>
      </c>
      <c r="I16" s="73" t="str">
        <f>F16</f>
        <v>2</v>
      </c>
      <c r="J16" s="212"/>
      <c r="K16" s="17"/>
      <c r="L16" s="17"/>
      <c r="M16" s="17"/>
      <c r="Q16" s="54"/>
    </row>
    <row r="17" spans="1:17" ht="100.35" customHeight="1" x14ac:dyDescent="0.2">
      <c r="A17" s="17"/>
      <c r="B17" s="394"/>
      <c r="C17" s="387" t="s">
        <v>176</v>
      </c>
      <c r="D17" s="388"/>
      <c r="E17" s="389"/>
      <c r="F17" s="211" t="str">
        <f>EN_Progress_Results!N52</f>
        <v>2</v>
      </c>
      <c r="G17" s="61" t="str" cm="1">
        <f t="array" ref="G17">IF(I17="",_xlfn.IFS(F17=EN_PF_DROPDOWN!S9,EN_PF_DROPDOWN!U9,F17=EN_PF_DROPDOWN!S10,EN_PF_DROPDOWN!U10,F17=EN_PF_DROPDOWN!S11,EN_PF_DROPDOWN!U11,F17=EN_PF_DROPDOWN!S12,EN_PF_DROPDOWN!U12,F17="",""),_xlfn.IFS(I17=EN_PF_DROPDOWN!S9,EN_PF_DROPDOWN!U9,I17=EN_PF_DROPDOWN!S10,EN_PF_DROPDOWN!U10,I17=EN_PF_DROPDOWN!S11,EN_PF_DROPDOWN!U11,I17=EN_PF_DROPDOWN!S12,EN_PF_DROPDOWN!U12,I17="",""))</f>
        <v>The CM ensures the availability, quality and analysis of information for its discussions with PRs, CTs and other stakeholders. Regular CM data-based discussions and decisions inform key GF processes (e.g., funding request preparation, program revisions, oversight of implementation, etc.) without systematic linkages with the overall health response.</v>
      </c>
      <c r="H17" s="379"/>
      <c r="I17" s="73" t="str">
        <f t="shared" ref="I17:I31" si="0">F17</f>
        <v>2</v>
      </c>
      <c r="J17" s="213"/>
      <c r="K17" s="17"/>
      <c r="L17" s="17"/>
      <c r="M17" s="17"/>
      <c r="Q17" s="54"/>
    </row>
    <row r="18" spans="1:17" ht="100.35" customHeight="1" x14ac:dyDescent="0.2">
      <c r="A18" s="17"/>
      <c r="B18" s="394"/>
      <c r="C18" s="387" t="s">
        <v>180</v>
      </c>
      <c r="D18" s="388"/>
      <c r="E18" s="389"/>
      <c r="F18" s="211" t="str">
        <f>EN_Progress_Results!N53</f>
        <v>0</v>
      </c>
      <c r="G18" s="61" t="str" cm="1">
        <f t="array" ref="G18">IF(I18="",_xlfn.IFS(F18=EN_PF_DROPDOWN!S15,EN_PF_DROPDOWN!U15,F18=EN_PF_DROPDOWN!S16,EN_PF_DROPDOWN!U16,F18=EN_PF_DROPDOWN!S17,EN_PF_DROPDOWN!U17,F18=EN_PF_DROPDOWN!S18,EN_PF_DROPDOWN!U18,F18="",""),_xlfn.IFS(I18=EN_PF_DROPDOWN!S15,EN_PF_DROPDOWN!U15,I18=EN_PF_DROPDOWN!S16,EN_PF_DROPDOWN!U16,I18=EN_PF_DROPDOWN!S17,EN_PF_DROPDOWN!U17,I18=EN_PF_DROPDOWN!S18,EN_PF_DROPDOWN!U18,I18="",""))</f>
        <v xml:space="preserve">CMs (particularly in High Impact and Core contexts) have been sensitized to Risk Management but have not integrated any aspects of risk identification, prioritization, mitigation, monitoring and assurance in their oversight strategy. </v>
      </c>
      <c r="H18" s="379"/>
      <c r="I18" s="73" t="str">
        <f t="shared" si="0"/>
        <v>0</v>
      </c>
      <c r="J18" s="213"/>
      <c r="K18" s="17"/>
      <c r="L18" s="17"/>
      <c r="M18" s="17"/>
      <c r="Q18" s="54"/>
    </row>
    <row r="19" spans="1:17" ht="100.35" customHeight="1" x14ac:dyDescent="0.2">
      <c r="A19" s="17"/>
      <c r="B19" s="395"/>
      <c r="C19" s="387" t="s">
        <v>181</v>
      </c>
      <c r="D19" s="388"/>
      <c r="E19" s="389"/>
      <c r="F19" s="211" t="str">
        <f>EN_Progress_Results!N54</f>
        <v>2</v>
      </c>
      <c r="G19" s="61" t="str" cm="1">
        <f t="array" ref="G19">IF(I19="",_xlfn.IFS(F19=EN_PF_DROPDOWN!S21,EN_PF_DROPDOWN!U21,F19=EN_PF_DROPDOWN!S22,EN_PF_DROPDOWN!U22,F19=EN_PF_DROPDOWN!S23,EN_PF_DROPDOWN!U23,F19=EN_PF_DROPDOWN!S24,EN_PF_DROPDOWN!U24,F19="",""),_xlfn.IFS(I19=EN_PF_DROPDOWN!S21,EN_PF_DROPDOWN!U21,I19=EN_PF_DROPDOWN!S22,EN_PF_DROPDOWN!U22,I19=EN_PF_DROPDOWN!S23,EN_PF_DROPDOWN!U23,I19=EN_PF_DROPDOWN!S24,EN_PF_DROPDOWN!U24,I19="",""))</f>
        <v>Co-financing commitments are known and their status is discussed at least twice/year during oversight committee and CM meetings. Information related to the materialization of co-financing commitments is actively sought by the CM and tracked through available tools (where these exist).</v>
      </c>
      <c r="H19" s="379"/>
      <c r="I19" s="73" t="str">
        <f t="shared" si="0"/>
        <v>2</v>
      </c>
      <c r="J19" s="213"/>
      <c r="K19" s="17"/>
      <c r="L19" s="17"/>
      <c r="M19" s="17"/>
      <c r="Q19" s="54"/>
    </row>
    <row r="20" spans="1:17" ht="100.35" customHeight="1" x14ac:dyDescent="0.2">
      <c r="A20" s="17"/>
      <c r="B20" s="314" t="s">
        <v>113</v>
      </c>
      <c r="C20" s="387" t="s">
        <v>177</v>
      </c>
      <c r="D20" s="388"/>
      <c r="E20" s="389"/>
      <c r="F20" s="211" t="str">
        <f>EN_Progress_Results!N55</f>
        <v>2</v>
      </c>
      <c r="G20" s="61" t="str" cm="1">
        <f t="array" ref="G20">IF(I20="",_xlfn.IFS(F20=EN_PF_DROPDOWN!S27,EN_PF_DROPDOWN!U27,F20=EN_PF_DROPDOWN!S28,EN_PF_DROPDOWN!U28,F20=EN_PF_DROPDOWN!S29,EN_PF_DROPDOWN!U29,F20=EN_PF_DROPDOWN!S30,EN_PF_DROPDOWN!U30,F20="",""),_xlfn.IFS(I20=EN_PF_DROPDOWN!S27,EN_PF_DROPDOWN!U27,I20=EN_PF_DROPDOWN!S28,EN_PF_DROPDOWN!U28,I20=EN_PF_DROPDOWN!S29,EN_PF_DROPDOWN!U29,I20=EN_PF_DROPDOWN!S30,EN_PF_DROPDOWN!U30,I20="",""))</f>
        <v xml:space="preserve">CM members are selected/elected through documented processes that are partially aligned to GF grants and national priorities (i.e. involvement of key relevant ministries). CS sector members are elected through an open, transparent and documented process following comprehensive consultations and mobilization of relevant CS groups (PLWDs, Key affected and vulnerable populations, etc.) leading up to the elections. Member selection for other sectors is based on each constituency's self-governed documented processes.   </v>
      </c>
      <c r="H20" s="379" t="str">
        <f>EN_EvolutionThreshold_Transfer!G22</f>
        <v>Summary of Findings - Quality Engagement
Clear efforts are being made to realise the ideals around community engagement that are embodied by the CCM model.  From a constitutional point of view this engagement is fully enshrined in the relevant CCM documentation and membership lists.  
There is also good evidence that this engagement extends to processes that pertain to the national programmes as a whole such as NSP development and the disease-specific taskforces.
The main issue appears to be the struggle to realise systematic bi-directional consultations with constituencies.  This was formalised with Red Cross resources and coordination support at one point but appears to have dropped off once that project closed out.  Given the challenges with giving the community voice in CCM meetings (time constraints, cultural constraints, language barrier etc.) the role of the CSO coordinating committee becomes even more pertinent.</v>
      </c>
      <c r="I20" s="73" t="str">
        <f t="shared" si="0"/>
        <v>2</v>
      </c>
      <c r="J20" s="213"/>
      <c r="K20" s="17"/>
      <c r="L20" s="17"/>
      <c r="M20" s="17"/>
      <c r="Q20" s="54"/>
    </row>
    <row r="21" spans="1:17" ht="100.35" customHeight="1" x14ac:dyDescent="0.2">
      <c r="A21" s="17"/>
      <c r="B21" s="315"/>
      <c r="C21" s="387" t="s">
        <v>178</v>
      </c>
      <c r="D21" s="388"/>
      <c r="E21" s="389"/>
      <c r="F21" s="211" t="str">
        <f>EN_Progress_Results!N56</f>
        <v>2</v>
      </c>
      <c r="G21" s="61" t="str" cm="1">
        <f t="array" ref="G21">IF(I21="",_xlfn.IFS(F21=EN_PF_DROPDOWN!S33,EN_PF_DROPDOWN!U33,F21=EN_PF_DROPDOWN!S34,EN_PF_DROPDOWN!U34,F21=EN_PF_DROPDOWN!S35,EN_PF_DROPDOWN!U35,F21=EN_PF_DROPDOWN!S36,EN_PF_DROPDOWN!U36,F21="",""),_xlfn.IFS(I21=EN_PF_DROPDOWN!S33,EN_PF_DROPDOWN!U33,I21=EN_PF_DROPDOWN!S34,EN_PF_DROPDOWN!U34,I21=EN_PF_DROPDOWN!S35,EN_PF_DROPDOWN!U35,I21=EN_PF_DROPDOWN!S36,EN_PF_DROPDOWN!U36,I21="",""))</f>
        <v>Members engage actively in CM meetings and activities and voice their constituencies' positions. There are deliberate efforts from the leadership to ensure a balanced participation of each constituency represented in CM debates and decision-making processes. All sectors are actively engaged at in all key committees (oversight and executive).  CM constituencies make some efforts to prepare for key GF and national processes in which they participate. Quorum is achieved at every meeting.</v>
      </c>
      <c r="H21" s="379"/>
      <c r="I21" s="73" t="str">
        <f t="shared" si="0"/>
        <v>2</v>
      </c>
      <c r="J21" s="213"/>
      <c r="K21" s="17"/>
      <c r="L21" s="17"/>
      <c r="M21" s="17"/>
      <c r="Q21" s="54"/>
    </row>
    <row r="22" spans="1:17" ht="100.35" customHeight="1" x14ac:dyDescent="0.2">
      <c r="A22" s="17"/>
      <c r="B22" s="315"/>
      <c r="C22" s="387" t="s">
        <v>678</v>
      </c>
      <c r="D22" s="388"/>
      <c r="E22" s="389"/>
      <c r="F22" s="211" t="str">
        <f>EN_Progress_Results!N57</f>
        <v>2</v>
      </c>
      <c r="G22" s="61" t="str" cm="1">
        <f t="array" ref="G22">IF(I22="",_xlfn.IFS(F22=EN_PF_DROPDOWN!S39,EN_PF_DROPDOWN!U39,F22=EN_PF_DROPDOWN!S40,EN_PF_DROPDOWN!U40,F22=EN_PF_DROPDOWN!S41,EN_PF_DROPDOWN!U41,F22=EN_PF_DROPDOWN!S42,EN_PF_DROPDOWN!U42,F22="",""),_xlfn.IFS(I22=EN_PF_DROPDOWN!S39,EN_PF_DROPDOWN!U39,I22=EN_PF_DROPDOWN!S40,EN_PF_DROPDOWN!U40,I22=EN_PF_DROPDOWN!S41,EN_PF_DROPDOWN!U41,I22=EN_PF_DROPDOWN!S42,EN_PF_DROPDOWN!U42,I22="",""))</f>
        <v>Representatives of CM constituencies prepare and actively participate in country processes supporting the national health response and this participation is documented and systematic.</v>
      </c>
      <c r="H22" s="379"/>
      <c r="I22" s="73" t="str">
        <f t="shared" si="0"/>
        <v>2</v>
      </c>
      <c r="J22" s="213"/>
      <c r="K22" s="17"/>
      <c r="L22" s="17"/>
      <c r="M22" s="17"/>
      <c r="Q22" s="54"/>
    </row>
    <row r="23" spans="1:17" ht="100.35" customHeight="1" x14ac:dyDescent="0.2">
      <c r="A23" s="17"/>
      <c r="B23" s="316"/>
      <c r="C23" s="387" t="s">
        <v>179</v>
      </c>
      <c r="D23" s="388"/>
      <c r="E23" s="389"/>
      <c r="F23" s="211" t="str">
        <f>EN_Progress_Results!N58</f>
        <v>0</v>
      </c>
      <c r="G23" s="61" t="str" cm="1">
        <f t="array" ref="G23">IF(I23="",_xlfn.IFS(F23=EN_PF_DROPDOWN!S45,EN_PF_DROPDOWN!U45,F23=EN_PF_DROPDOWN!S46,EN_PF_DROPDOWN!U46,F23=EN_PF_DROPDOWN!S47,EN_PF_DROPDOWN!U47,F23=EN_PF_DROPDOWN!S48,EN_PF_DROPDOWN!U48,F23="",""),_xlfn.IFS(I23=EN_PF_DROPDOWN!S45,EN_PF_DROPDOWN!U45,I23=EN_PF_DROPDOWN!S46,EN_PF_DROPDOWN!U46,I23=EN_PF_DROPDOWN!S47,EN_PF_DROPDOWN!U47,I23=EN_PF_DROPDOWN!S48,EN_PF_DROPDOWN!U48,I23="",""))</f>
        <v>Bi-directional consultations within constituencies are infrequent or non-existent.</v>
      </c>
      <c r="H23" s="379"/>
      <c r="I23" s="73" t="str">
        <f t="shared" si="0"/>
        <v>0</v>
      </c>
      <c r="J23" s="213"/>
      <c r="K23" s="17"/>
      <c r="L23" s="17"/>
      <c r="M23" s="17"/>
      <c r="Q23" s="54"/>
    </row>
    <row r="24" spans="1:17" ht="100.35" customHeight="1" x14ac:dyDescent="0.2">
      <c r="A24" s="17"/>
      <c r="B24" s="351" t="s">
        <v>114</v>
      </c>
      <c r="C24" s="387" t="s">
        <v>182</v>
      </c>
      <c r="D24" s="388"/>
      <c r="E24" s="389"/>
      <c r="F24" s="211" t="str">
        <f>EN_Progress_Results!N59</f>
        <v>1</v>
      </c>
      <c r="G24" s="61" t="str" cm="1">
        <f t="array" ref="G24">IF(I24="",_xlfn.IFS(F24=EN_PF_DROPDOWN!S51,EN_PF_DROPDOWN!U51,F24=EN_PF_DROPDOWN!S52,EN_PF_DROPDOWN!U52,F24=EN_PF_DROPDOWN!S53,EN_PF_DROPDOWN!U53,F24=EN_PF_DROPDOWN!S54,EN_PF_DROPDOWN!U54,F24="",""),_xlfn.IFS(I24=EN_PF_DROPDOWN!S51,EN_PF_DROPDOWN!U51,I24=EN_PF_DROPDOWN!S52,EN_PF_DROPDOWN!U52,I24=EN_PF_DROPDOWN!S53,EN_PF_DROPDOWN!U53,I24=EN_PF_DROPDOWN!S54,EN_PF_DROPDOWN!U54,I24="",""))</f>
        <v>The CM has conducted a stakeholders’ mapping and strategic landscape scan to inform a responsive strategic positioning vision.</v>
      </c>
      <c r="H24" s="379" t="str">
        <f>EN_EvolutionThreshold_Transfer!G27</f>
        <v>Summary of Findings - Positioning
Positioning is a critical issue for Lao CCM as the country moves to new implementation arrangements that pool GF funding into the WB HANSA project.  Alignment with national structures is a significant part of the rationale behind the GF's decision to pool the funds in this way.  The questions of how the CCM links with the HANSA Steering Committee and what its respective role is in relation to the national HANSA project coordination office in the DPC have yet to be resolved.  A possible organogram has been presented to CCM and OC and been discussed.  The sense among CCM stakeholders is that the decision will be made by the Ministry (rather than by the CCM.)   The as yet undetermined merged governance arrangements  present potential risks for the CCM  particularly in relation to the CCM's leverage and the extent to which a meaningful role in governance for communities can be preserved.</v>
      </c>
      <c r="I24" s="73" t="str">
        <f t="shared" si="0"/>
        <v>1</v>
      </c>
      <c r="J24" s="213"/>
      <c r="K24" s="17"/>
      <c r="L24" s="17"/>
      <c r="M24" s="17"/>
      <c r="Q24" s="54"/>
    </row>
    <row r="25" spans="1:17" ht="100.35" customHeight="1" x14ac:dyDescent="0.2">
      <c r="A25" s="17"/>
      <c r="B25" s="352"/>
      <c r="C25" s="387" t="s">
        <v>183</v>
      </c>
      <c r="D25" s="388"/>
      <c r="E25" s="389"/>
      <c r="F25" s="211" t="str">
        <f>EN_Progress_Results!N60</f>
        <v>1</v>
      </c>
      <c r="G25" s="61" t="str" cm="1">
        <f t="array" ref="G25">IF(I25="",_xlfn.IFS(F25=EN_PF_DROPDOWN!S57,EN_PF_DROPDOWN!U57,F25=EN_PF_DROPDOWN!S58,EN_PF_DROPDOWN!U58,F25=EN_PF_DROPDOWN!S59,EN_PF_DROPDOWN!U59,F25=EN_PF_DROPDOWN!S60,EN_PF_DROPDOWN!U60,F25="",""),_xlfn.IFS(I25=EN_PF_DROPDOWN!S57,EN_PF_DROPDOWN!U57,I25=EN_PF_DROPDOWN!S58,EN_PF_DROPDOWN!U58,I25=EN_PF_DROPDOWN!S59,EN_PF_DROPDOWN!U59,I25=EN_PF_DROPDOWN!S60,EN_PF_DROPDOWN!U60,I25="",""))</f>
        <v xml:space="preserve">The strategic positioning vision has been communicated to certain relevant parties. Consensus building is still needed. </v>
      </c>
      <c r="H25" s="379"/>
      <c r="I25" s="73" t="str">
        <f t="shared" si="0"/>
        <v>1</v>
      </c>
      <c r="J25" s="213"/>
      <c r="K25" s="17"/>
      <c r="L25" s="17"/>
      <c r="M25" s="17"/>
      <c r="Q25" s="54"/>
    </row>
    <row r="26" spans="1:17" ht="100.35" customHeight="1" x14ac:dyDescent="0.2">
      <c r="A26" s="17"/>
      <c r="B26" s="352"/>
      <c r="C26" s="387" t="s">
        <v>184</v>
      </c>
      <c r="D26" s="388"/>
      <c r="E26" s="389"/>
      <c r="F26" s="211" t="str">
        <f>EN_Progress_Results!N61</f>
        <v>2</v>
      </c>
      <c r="G26" s="61" t="str" cm="1">
        <f t="array" ref="G26">IF(I26="",_xlfn.IFS(F26=EN_PF_DROPDOWN!S63,EN_PF_DROPDOWN!U63,F26=EN_PF_DROPDOWN!S64,EN_PF_DROPDOWN!U64,F26=EN_PF_DROPDOWN!S65,EN_PF_DROPDOWN!U65,F26=EN_PF_DROPDOWN!S66,EN_PF_DROPDOWN!U66,F26="",""),_xlfn.IFS(I26=EN_PF_DROPDOWN!S63,EN_PF_DROPDOWN!U63,I26=EN_PF_DROPDOWN!S64,EN_PF_DROPDOWN!U64,I26=EN_PF_DROPDOWN!S65,EN_PF_DROPDOWN!U65,I26=EN_PF_DROPDOWN!S66,EN_PF_DROPDOWN!U66,I26="",""))</f>
        <v xml:space="preserve">CM operations (functions and structures) are organized and are efficiently implemented. In addition, they have been recently aligned with broader national processes. </v>
      </c>
      <c r="H26" s="379"/>
      <c r="I26" s="73" t="str">
        <f t="shared" si="0"/>
        <v>2</v>
      </c>
      <c r="J26" s="213"/>
      <c r="K26" s="17"/>
      <c r="L26" s="17"/>
      <c r="M26" s="17"/>
      <c r="Q26" s="54"/>
    </row>
    <row r="27" spans="1:17" ht="100.35" customHeight="1" x14ac:dyDescent="0.2">
      <c r="A27" s="17"/>
      <c r="B27" s="353"/>
      <c r="C27" s="398" t="s">
        <v>185</v>
      </c>
      <c r="D27" s="399"/>
      <c r="E27" s="400"/>
      <c r="F27" s="211" t="str">
        <f>EN_Progress_Results!N62</f>
        <v>1</v>
      </c>
      <c r="G27" s="61" t="str" cm="1">
        <f t="array" ref="G27">IF(I27="",_xlfn.IFS(F27=EN_PF_DROPDOWN!S71,EN_PF_DROPDOWN!U71,F27=EN_PF_DROPDOWN!S72,EN_PF_DROPDOWN!U72,F27=EN_PF_DROPDOWN!S73,EN_PF_DROPDOWN!U73,F27=EN_PF_DROPDOWN!S74,EN_PF_DROPDOWN!U74,F27="",""),_xlfn.IFS(I27=EN_PF_DROPDOWN!S71,EN_PF_DROPDOWN!U71,I27=EN_PF_DROPDOWN!S72,EN_PF_DROPDOWN!U72,I27=EN_PF_DROPDOWN!S73,EN_PF_DROPDOWN!U73,I27=EN_PF_DROPDOWN!S74,EN_PF_DROPDOWN!U74,I27="",""))</f>
        <v>Civil society (particularly communities) representatives engage actively in GF processes.</v>
      </c>
      <c r="H27" s="379"/>
      <c r="I27" s="73" t="str">
        <f t="shared" si="0"/>
        <v>1</v>
      </c>
      <c r="J27" s="213"/>
      <c r="K27" s="17"/>
      <c r="L27" s="17"/>
      <c r="M27" s="17"/>
      <c r="Q27" s="54"/>
    </row>
    <row r="28" spans="1:17" ht="100.35" customHeight="1" x14ac:dyDescent="0.2">
      <c r="A28" s="17"/>
      <c r="B28" s="334" t="s">
        <v>118</v>
      </c>
      <c r="C28" s="341" t="s">
        <v>186</v>
      </c>
      <c r="D28" s="341"/>
      <c r="E28" s="341"/>
      <c r="F28" s="211" t="str">
        <f>EN_Progress_Results!N63</f>
        <v>2</v>
      </c>
      <c r="G28" s="61" t="str" cm="1">
        <f t="array" ref="G28">IF(I28="",_xlfn.IFS(F28=EN_PF_DROPDOWN!S77,EN_PF_DROPDOWN!U77,F28=EN_PF_DROPDOWN!S78,EN_PF_DROPDOWN!U78,F28=EN_PF_DROPDOWN!S79,EN_PF_DROPDOWN!U79,F28=EN_PF_DROPDOWN!S80,EN_PF_DROPDOWN!U80,F28="",""),_xlfn.IFS(I28=EN_PF_DROPDOWN!S77,EN_PF_DROPDOWN!U77,I28=EN_PF_DROPDOWN!S78,EN_PF_DROPDOWN!U78,I28=EN_PF_DROPDOWN!S79,EN_PF_DROPDOWN!U79,I28=EN_PF_DROPDOWN!S80,EN_PF_DROPDOWN!U80,I28="",""))</f>
        <v>The CM fosters a respectful and inclusive environment where active and effective contributions by all members are sought and considered. Decisions are made in a transparent and equitable manner according to the CM’s clearly documented processes. Decisions are based on information (not always triangulated) and aim for maximum efficiencies of the GF investments. The CM Code of Conduct has been adopted, members have been sensitized about it and is frequently used as a guiding document.</v>
      </c>
      <c r="H28" s="379" t="str">
        <f>EN_EvolutionThreshold_Transfer!G32</f>
        <v>Summary of Findings - Operations
On an administrative level the execution of the operational side of CCM functioning is exemplary.  Operations are well documented, plans are in place and costed, meeting minutes are complete and efficiently turned around.  Initiative is taken to ensure that new requirements from GF, such as the Ethics Code of Conduct, are put in place.  A documented appraisal process of the Secretariat is in place and so on.
If there are any shortcomings this would be mainly on strategic support.  Processes as they currently stand do not accommodate a significant role for the secretariat in strategic analysis/filtering of data that is presented into the CCM and the Oversight Committee.  Part of the issue here is that, as with many CCMs, the progress reports are not being made available in sufficient time before meetings for there to be an pre-meeting analytic review and completeness check.  If the Secretariat were to take up such a role there would need to be an assessment of any logistical and capacity constraints as well as contextual constraints around authority structures.  A new role for the CCM in relation to HANSA would also have implications for the relative weighting given to administrative versus strategic support provided to the CCM by the Secretariat.</v>
      </c>
      <c r="I28" s="73" t="str">
        <f t="shared" si="0"/>
        <v>2</v>
      </c>
      <c r="J28" s="213"/>
      <c r="K28" s="17"/>
      <c r="L28" s="17"/>
      <c r="M28" s="17"/>
      <c r="Q28" s="54"/>
    </row>
    <row r="29" spans="1:17" ht="100.35" customHeight="1" x14ac:dyDescent="0.2">
      <c r="A29" s="17"/>
      <c r="B29" s="335"/>
      <c r="C29" s="341" t="s">
        <v>682</v>
      </c>
      <c r="D29" s="341"/>
      <c r="E29" s="341"/>
      <c r="F29" s="211" t="str">
        <f>EN_Progress_Results!N64</f>
        <v>2</v>
      </c>
      <c r="G29" s="61" t="str" cm="1">
        <f t="array" ref="G29">IF(I29="",_xlfn.IFS(F29=EN_PF_DROPDOWN!S83,EN_PF_DROPDOWN!U83,F29=EN_PF_DROPDOWN!S84,EN_PF_DROPDOWN!U84,F29=EN_PF_DROPDOWN!S85,EN_PF_DROPDOWN!U85,F29=EN_PF_DROPDOWN!S86,EN_PF_DROPDOWN!U86,F29="",""),_xlfn.IFS(I29=EN_PF_DROPDOWN!S83,EN_PF_DROPDOWN!U83,I29=EN_PF_DROPDOWN!S84,EN_PF_DROPDOWN!U84,I29=EN_PF_DROPDOWN!S85,EN_PF_DROPDOWN!U85,I29=EN_PF_DROPDOWN!S86,EN_PF_DROPDOWN!U86,I29="",""))</f>
        <v>The CM Secretariat provides administrative and strategic support to the CM and its committees -particularly the oversight committee - and provides the necessary information and advice to members and CM leadership for effective decision-making. The CM secretariat leads and facilitates members’ skills building and induction activities on annual basis and after membership renewal.</v>
      </c>
      <c r="H29" s="379"/>
      <c r="I29" s="73" t="str">
        <f t="shared" si="0"/>
        <v>2</v>
      </c>
      <c r="J29" s="213"/>
      <c r="K29" s="17"/>
      <c r="L29" s="17"/>
      <c r="M29" s="17"/>
      <c r="Q29" s="54"/>
    </row>
    <row r="30" spans="1:17" ht="100.35" customHeight="1" x14ac:dyDescent="0.2">
      <c r="A30" s="17"/>
      <c r="B30" s="335"/>
      <c r="C30" s="341" t="s">
        <v>187</v>
      </c>
      <c r="D30" s="341"/>
      <c r="E30" s="341"/>
      <c r="F30" s="211" t="str">
        <f>EN_Progress_Results!N65</f>
        <v>2</v>
      </c>
      <c r="G30" s="61" t="str" cm="1">
        <f t="array" ref="G30">IF(I30="",_xlfn.IFS(F30=EN_PF_DROPDOWN!S89,EN_PF_DROPDOWN!U89,F30=EN_PF_DROPDOWN!S90,EN_PF_DROPDOWN!U90,F30=EN_PF_DROPDOWN!S91,EN_PF_DROPDOWN!U91,F30=EN_PF_DROPDOWN!S92,EN_PF_DROPDOWN!U92,F30="",""),_xlfn.IFS(I30=EN_PF_DROPDOWN!S89,EN_PF_DROPDOWN!U89,I30=EN_PF_DROPDOWN!S90,EN_PF_DROPDOWN!U90,I30=EN_PF_DROPDOWN!S91,EN_PF_DROPDOWN!U91,I30=EN_PF_DROPDOWN!S92,EN_PF_DROPDOWN!U92,I30="",""))</f>
        <v>The CM committees’ mandate is clearly defined and widely shared. The composition is aligned with and supports GF grant priorities. Committees develop sound recommendations - based on thorough investigations and evidence - to facilitate decision-making. Implementation of recommendations is not always followed through.</v>
      </c>
      <c r="H30" s="379"/>
      <c r="I30" s="73" t="str">
        <f t="shared" si="0"/>
        <v>2</v>
      </c>
      <c r="J30" s="213"/>
      <c r="K30" s="17"/>
      <c r="L30" s="17"/>
      <c r="M30" s="17"/>
      <c r="Q30" s="54"/>
    </row>
    <row r="31" spans="1:17" ht="100.35" customHeight="1" x14ac:dyDescent="0.2">
      <c r="A31" s="17"/>
      <c r="B31" s="336"/>
      <c r="C31" s="341" t="s">
        <v>188</v>
      </c>
      <c r="D31" s="341"/>
      <c r="E31" s="341"/>
      <c r="F31" s="211" t="str">
        <f>EN_Progress_Results!N66</f>
        <v>3</v>
      </c>
      <c r="G31" s="61" t="str" cm="1">
        <f t="array" ref="G31">IF(I31="",_xlfn.IFS(F31=EN_PF_DROPDOWN!S95,EN_PF_DROPDOWN!U95,F31=EN_PF_DROPDOWN!S96,EN_PF_DROPDOWN!U96,F31=EN_PF_DROPDOWN!S97,EN_PF_DROPDOWN!U97,F31=EN_PF_DROPDOWN!S98,EN_PF_DROPDOWN!U98,F31="",""),_xlfn.IFS(I31=EN_PF_DROPDOWN!S95,EN_PF_DROPDOWN!U95,I31=EN_PF_DROPDOWN!S96,EN_PF_DROPDOWN!U96,I31=EN_PF_DROPDOWN!S97,EN_PF_DROPDOWN!U97,I31=EN_PF_DROPDOWN!S98,EN_PF_DROPDOWN!U98,I31="",""))</f>
        <v xml:space="preserve">The leadership proactively fosters regular and pertinent interactions among all internal and external stakeholders. CM members participate and contribute to debates and decision-making processes. CM meetings are managed effectively, using standard protocols to manage time, ensure quorum, manage potential conflicts of interest, organize participation by members and lead to implementable and documented decisions. Membership (including leadership) renewal occurs in accordance with CM governance documents and procedures. A robust performance management system (in line with Global Fund expectations) of the CM secretariat is in place and regularly implemented.   </v>
      </c>
      <c r="H31" s="379"/>
      <c r="I31" s="73" t="str">
        <f t="shared" si="0"/>
        <v>3</v>
      </c>
      <c r="J31" s="213"/>
      <c r="K31" s="17"/>
      <c r="L31" s="17"/>
      <c r="M31" s="17"/>
      <c r="Q31" s="54"/>
    </row>
    <row r="32" spans="1:17" x14ac:dyDescent="0.2">
      <c r="A32" s="17"/>
      <c r="B32" s="17"/>
      <c r="C32" s="17"/>
      <c r="D32" s="17"/>
      <c r="E32" s="17"/>
      <c r="F32" s="17"/>
      <c r="G32" s="17"/>
      <c r="H32" s="17"/>
      <c r="I32" s="17"/>
      <c r="J32" s="17"/>
      <c r="K32" s="17"/>
      <c r="L32" s="17"/>
      <c r="M32" s="17"/>
    </row>
    <row r="33" spans="1:13" x14ac:dyDescent="0.2">
      <c r="A33" s="17"/>
      <c r="B33" s="17"/>
      <c r="C33" s="17"/>
      <c r="D33" s="17"/>
      <c r="E33" s="17"/>
      <c r="F33" s="17"/>
      <c r="G33" s="17"/>
      <c r="H33" s="17"/>
      <c r="I33" s="17"/>
      <c r="J33" s="17"/>
      <c r="K33" s="17"/>
      <c r="L33" s="17"/>
      <c r="M33" s="17"/>
    </row>
    <row r="34" spans="1:13" x14ac:dyDescent="0.2">
      <c r="B34" s="17"/>
      <c r="C34" s="17"/>
      <c r="D34" s="17"/>
      <c r="E34" s="17"/>
      <c r="F34" s="17"/>
      <c r="G34" s="17"/>
      <c r="H34" s="17"/>
      <c r="I34" s="17"/>
      <c r="J34" s="17"/>
      <c r="K34" s="17"/>
      <c r="L34" s="17"/>
      <c r="M34" s="17"/>
    </row>
    <row r="35" spans="1:13" x14ac:dyDescent="0.2">
      <c r="B35" s="17"/>
      <c r="C35" s="17"/>
      <c r="D35" s="17"/>
      <c r="E35" s="17"/>
      <c r="F35" s="17"/>
      <c r="G35" s="17"/>
      <c r="H35" s="17"/>
      <c r="I35" s="17"/>
      <c r="J35" s="17"/>
      <c r="K35" s="17"/>
      <c r="L35" s="17"/>
      <c r="M35" s="17"/>
    </row>
    <row r="36" spans="1:13" x14ac:dyDescent="0.2">
      <c r="B36" s="17"/>
      <c r="C36" s="17"/>
      <c r="D36" s="17"/>
      <c r="E36" s="17"/>
      <c r="F36" s="17"/>
      <c r="G36" s="17"/>
      <c r="H36" s="17"/>
      <c r="I36" s="17"/>
      <c r="J36" s="17"/>
      <c r="K36" s="17"/>
      <c r="L36" s="17"/>
      <c r="M36" s="17"/>
    </row>
    <row r="37" spans="1:13" x14ac:dyDescent="0.2">
      <c r="B37" s="17"/>
      <c r="C37" s="17"/>
      <c r="D37" s="17"/>
      <c r="E37" s="17"/>
      <c r="F37" s="17"/>
      <c r="G37" s="17"/>
      <c r="H37" s="17"/>
      <c r="I37" s="17"/>
      <c r="J37" s="17"/>
      <c r="K37" s="17"/>
      <c r="L37" s="17"/>
      <c r="M37" s="17"/>
    </row>
    <row r="38" spans="1:13" x14ac:dyDescent="0.2">
      <c r="B38" s="17"/>
      <c r="C38" s="17"/>
      <c r="D38" s="17"/>
      <c r="E38" s="17"/>
      <c r="F38" s="17"/>
      <c r="G38" s="17"/>
      <c r="H38" s="17"/>
      <c r="I38" s="17"/>
      <c r="J38" s="17"/>
      <c r="K38" s="17"/>
      <c r="L38" s="17"/>
      <c r="M38" s="17"/>
    </row>
    <row r="39" spans="1:13" x14ac:dyDescent="0.2">
      <c r="B39" s="17"/>
      <c r="C39" s="17"/>
      <c r="D39" s="17"/>
      <c r="E39" s="17"/>
      <c r="F39" s="17"/>
      <c r="G39" s="17"/>
      <c r="H39" s="17"/>
      <c r="I39" s="17"/>
      <c r="J39" s="17"/>
      <c r="K39" s="17"/>
      <c r="L39" s="17"/>
      <c r="M39" s="17"/>
    </row>
    <row r="40" spans="1:13" x14ac:dyDescent="0.2">
      <c r="B40" s="17"/>
      <c r="C40" s="17"/>
      <c r="D40" s="17"/>
      <c r="E40" s="17"/>
      <c r="F40" s="17"/>
      <c r="G40" s="17"/>
      <c r="H40" s="17"/>
      <c r="I40" s="17"/>
      <c r="J40" s="17"/>
      <c r="K40" s="17"/>
      <c r="L40" s="17"/>
      <c r="M40" s="17"/>
    </row>
    <row r="41" spans="1:13" x14ac:dyDescent="0.2">
      <c r="B41" s="17"/>
      <c r="C41" s="17"/>
      <c r="D41" s="17"/>
      <c r="E41" s="17"/>
      <c r="F41" s="17"/>
      <c r="G41" s="17"/>
      <c r="H41" s="17"/>
      <c r="I41" s="17"/>
      <c r="J41" s="17"/>
      <c r="K41" s="17"/>
      <c r="L41" s="17"/>
      <c r="M41" s="17"/>
    </row>
    <row r="42" spans="1:13" x14ac:dyDescent="0.2">
      <c r="B42" s="17"/>
      <c r="C42" s="17"/>
      <c r="D42" s="17"/>
      <c r="E42" s="17"/>
      <c r="F42" s="17"/>
      <c r="G42" s="17"/>
      <c r="H42" s="17"/>
      <c r="I42" s="17"/>
      <c r="J42" s="17"/>
      <c r="K42" s="17"/>
      <c r="L42" s="17"/>
      <c r="M42" s="17"/>
    </row>
    <row r="43" spans="1:13" x14ac:dyDescent="0.2">
      <c r="B43" s="17"/>
      <c r="C43" s="17"/>
      <c r="D43" s="17"/>
      <c r="E43" s="17"/>
      <c r="F43" s="17"/>
      <c r="G43" s="17"/>
      <c r="H43" s="17"/>
      <c r="I43" s="17"/>
      <c r="J43" s="17"/>
      <c r="K43" s="17"/>
      <c r="L43" s="17"/>
      <c r="M43" s="17"/>
    </row>
    <row r="44" spans="1:13" x14ac:dyDescent="0.2">
      <c r="B44" s="17"/>
      <c r="C44" s="17"/>
      <c r="D44" s="17"/>
      <c r="E44" s="17"/>
      <c r="F44" s="17"/>
      <c r="G44" s="17"/>
      <c r="H44" s="17"/>
      <c r="I44" s="17"/>
      <c r="J44" s="17"/>
      <c r="K44" s="17"/>
      <c r="L44" s="17"/>
      <c r="M44" s="17"/>
    </row>
    <row r="45" spans="1:13" x14ac:dyDescent="0.2">
      <c r="B45" s="17"/>
      <c r="C45" s="17"/>
      <c r="D45" s="17"/>
      <c r="E45" s="17"/>
      <c r="F45" s="17"/>
      <c r="G45" s="17"/>
      <c r="H45" s="17"/>
      <c r="I45" s="17"/>
      <c r="J45" s="17"/>
      <c r="K45" s="17"/>
      <c r="L45" s="17"/>
      <c r="M45" s="17"/>
    </row>
    <row r="46" spans="1:13" x14ac:dyDescent="0.2">
      <c r="B46" s="17"/>
      <c r="C46" s="17"/>
      <c r="D46" s="17"/>
      <c r="E46" s="17"/>
      <c r="F46" s="17"/>
      <c r="G46" s="17"/>
      <c r="H46" s="17"/>
      <c r="I46" s="17"/>
      <c r="J46" s="17"/>
      <c r="K46" s="17"/>
      <c r="L46" s="17"/>
      <c r="M46" s="17"/>
    </row>
    <row r="47" spans="1:13" x14ac:dyDescent="0.2">
      <c r="B47" s="17"/>
      <c r="C47" s="17"/>
      <c r="D47" s="17"/>
      <c r="E47" s="17"/>
      <c r="F47" s="17"/>
      <c r="G47" s="17"/>
      <c r="H47" s="17"/>
      <c r="I47" s="17"/>
      <c r="J47" s="17"/>
      <c r="K47" s="17"/>
      <c r="L47" s="17"/>
      <c r="M47" s="17"/>
    </row>
    <row r="48" spans="1:13" x14ac:dyDescent="0.2">
      <c r="B48" s="17"/>
      <c r="C48" s="17"/>
      <c r="D48" s="17"/>
      <c r="E48" s="17"/>
      <c r="F48" s="17"/>
      <c r="G48" s="17"/>
      <c r="H48" s="17"/>
      <c r="I48" s="17"/>
      <c r="J48" s="17"/>
      <c r="K48" s="17"/>
      <c r="L48" s="17"/>
      <c r="M48" s="17"/>
    </row>
    <row r="49" spans="2:13" x14ac:dyDescent="0.2">
      <c r="B49" s="17"/>
      <c r="C49" s="17"/>
      <c r="D49" s="17"/>
      <c r="E49" s="17"/>
      <c r="F49" s="17"/>
      <c r="G49" s="17"/>
      <c r="H49" s="17"/>
      <c r="I49" s="17"/>
      <c r="J49" s="17"/>
      <c r="K49" s="17"/>
      <c r="L49" s="17"/>
      <c r="M49" s="17"/>
    </row>
    <row r="50" spans="2:13" x14ac:dyDescent="0.2">
      <c r="B50" s="17"/>
      <c r="C50" s="17"/>
      <c r="D50" s="17"/>
      <c r="E50" s="17"/>
      <c r="F50" s="17"/>
      <c r="G50" s="17"/>
      <c r="H50" s="17"/>
      <c r="I50" s="17"/>
      <c r="J50" s="17"/>
      <c r="K50" s="17"/>
      <c r="L50" s="17"/>
      <c r="M50" s="17"/>
    </row>
    <row r="51" spans="2:13" x14ac:dyDescent="0.2">
      <c r="B51" s="17"/>
      <c r="C51" s="17"/>
      <c r="D51" s="17"/>
      <c r="E51" s="17"/>
      <c r="F51" s="17"/>
      <c r="G51" s="17"/>
      <c r="H51" s="17"/>
      <c r="I51" s="17"/>
      <c r="J51" s="17"/>
      <c r="K51" s="17"/>
      <c r="L51" s="17"/>
      <c r="M51" s="17"/>
    </row>
    <row r="52" spans="2:13" x14ac:dyDescent="0.2">
      <c r="B52" s="17"/>
      <c r="C52" s="17"/>
      <c r="D52" s="17"/>
      <c r="E52" s="17"/>
      <c r="F52" s="17"/>
      <c r="G52" s="17"/>
      <c r="H52" s="17"/>
      <c r="I52" s="17"/>
      <c r="J52" s="17"/>
      <c r="K52" s="17"/>
      <c r="L52" s="17"/>
      <c r="M52" s="17"/>
    </row>
    <row r="53" spans="2:13" x14ac:dyDescent="0.2">
      <c r="B53" s="17"/>
      <c r="C53" s="17"/>
      <c r="D53" s="17"/>
      <c r="E53" s="17"/>
      <c r="F53" s="17"/>
      <c r="G53" s="17"/>
      <c r="H53" s="17"/>
      <c r="I53" s="17"/>
      <c r="J53" s="17"/>
      <c r="K53" s="17"/>
      <c r="L53" s="17"/>
      <c r="M53" s="17"/>
    </row>
    <row r="54" spans="2:13" x14ac:dyDescent="0.2">
      <c r="B54" s="17"/>
      <c r="C54" s="17"/>
      <c r="D54" s="17"/>
      <c r="E54" s="17"/>
      <c r="F54" s="17"/>
      <c r="G54" s="17"/>
      <c r="H54" s="17"/>
      <c r="I54" s="17"/>
      <c r="J54" s="17"/>
      <c r="K54" s="17"/>
      <c r="L54" s="17"/>
      <c r="M54" s="17"/>
    </row>
    <row r="55" spans="2:13" x14ac:dyDescent="0.2">
      <c r="B55" s="17"/>
      <c r="C55" s="17"/>
      <c r="D55" s="17"/>
      <c r="E55" s="17"/>
      <c r="F55" s="17"/>
      <c r="G55" s="17"/>
      <c r="H55" s="17"/>
      <c r="I55" s="17"/>
      <c r="J55" s="17"/>
      <c r="K55" s="17"/>
      <c r="L55" s="17"/>
      <c r="M55" s="17"/>
    </row>
    <row r="56" spans="2:13" x14ac:dyDescent="0.2">
      <c r="B56" s="17"/>
      <c r="C56" s="17"/>
      <c r="D56" s="17"/>
      <c r="E56" s="17"/>
      <c r="F56" s="17"/>
      <c r="G56" s="17"/>
      <c r="H56" s="17"/>
      <c r="I56" s="17"/>
      <c r="J56" s="17"/>
      <c r="K56" s="17"/>
      <c r="L56" s="17"/>
      <c r="M56" s="17"/>
    </row>
    <row r="57" spans="2:13" x14ac:dyDescent="0.2">
      <c r="B57" s="17"/>
      <c r="C57" s="17"/>
      <c r="D57" s="17"/>
      <c r="E57" s="17"/>
      <c r="F57" s="17"/>
      <c r="G57" s="17"/>
      <c r="H57" s="17"/>
      <c r="I57" s="17"/>
      <c r="J57" s="17"/>
      <c r="K57" s="17"/>
      <c r="L57" s="17"/>
      <c r="M57" s="17"/>
    </row>
    <row r="58" spans="2:13" x14ac:dyDescent="0.2">
      <c r="B58" s="17"/>
      <c r="C58" s="17"/>
      <c r="D58" s="17"/>
      <c r="E58" s="17"/>
      <c r="F58" s="17"/>
      <c r="G58" s="17"/>
      <c r="H58" s="17"/>
      <c r="I58" s="17"/>
      <c r="J58" s="17"/>
      <c r="K58" s="17"/>
      <c r="L58" s="17"/>
      <c r="M58" s="17"/>
    </row>
    <row r="59" spans="2:13" x14ac:dyDescent="0.2">
      <c r="B59" s="17"/>
      <c r="C59" s="17"/>
      <c r="D59" s="17"/>
      <c r="E59" s="17"/>
      <c r="F59" s="17"/>
      <c r="G59" s="17"/>
      <c r="H59" s="17"/>
      <c r="I59" s="17"/>
      <c r="J59" s="17"/>
      <c r="K59" s="17"/>
      <c r="L59" s="17"/>
      <c r="M59" s="17"/>
    </row>
    <row r="60" spans="2:13" x14ac:dyDescent="0.2">
      <c r="B60" s="17"/>
      <c r="C60" s="17"/>
      <c r="D60" s="17"/>
      <c r="E60" s="17"/>
      <c r="F60" s="17"/>
      <c r="G60" s="17"/>
      <c r="H60" s="17"/>
      <c r="I60" s="17"/>
      <c r="J60" s="17"/>
      <c r="K60" s="17"/>
      <c r="L60" s="17"/>
      <c r="M60" s="17"/>
    </row>
    <row r="61" spans="2:13" x14ac:dyDescent="0.2">
      <c r="B61" s="17"/>
      <c r="C61" s="17"/>
      <c r="D61" s="17"/>
      <c r="E61" s="17"/>
      <c r="F61" s="17"/>
      <c r="G61" s="17"/>
      <c r="H61" s="17"/>
      <c r="I61" s="17"/>
      <c r="J61" s="17"/>
      <c r="K61" s="17"/>
      <c r="L61" s="17"/>
      <c r="M61" s="17"/>
    </row>
    <row r="62" spans="2:13" x14ac:dyDescent="0.2">
      <c r="B62" s="17"/>
      <c r="C62" s="17"/>
      <c r="D62" s="17"/>
      <c r="E62" s="17"/>
      <c r="F62" s="17"/>
      <c r="G62" s="17"/>
      <c r="H62" s="17"/>
      <c r="I62" s="17"/>
      <c r="J62" s="17"/>
      <c r="K62" s="17"/>
      <c r="L62" s="17"/>
      <c r="M62" s="17"/>
    </row>
    <row r="63" spans="2:13" x14ac:dyDescent="0.2">
      <c r="B63" s="17"/>
      <c r="C63" s="17"/>
      <c r="D63" s="17"/>
      <c r="E63" s="17"/>
      <c r="F63" s="17"/>
      <c r="G63" s="17"/>
      <c r="H63" s="17"/>
      <c r="I63" s="17"/>
      <c r="J63" s="17"/>
      <c r="K63" s="17"/>
      <c r="L63" s="17"/>
      <c r="M63" s="17"/>
    </row>
    <row r="64" spans="2:13" x14ac:dyDescent="0.2">
      <c r="B64" s="17"/>
      <c r="C64" s="17"/>
      <c r="D64" s="17"/>
      <c r="E64" s="17"/>
      <c r="F64" s="17"/>
      <c r="G64" s="17"/>
      <c r="H64" s="17"/>
      <c r="I64" s="17"/>
      <c r="J64" s="17"/>
      <c r="K64" s="17"/>
      <c r="L64" s="17"/>
      <c r="M64" s="17"/>
    </row>
    <row r="65" spans="2:13" x14ac:dyDescent="0.2">
      <c r="B65" s="17"/>
      <c r="C65" s="17"/>
      <c r="D65" s="17"/>
      <c r="E65" s="17"/>
      <c r="F65" s="17"/>
      <c r="G65" s="17"/>
      <c r="H65" s="17"/>
      <c r="I65" s="17"/>
      <c r="J65" s="17"/>
      <c r="K65" s="17"/>
      <c r="L65" s="17"/>
      <c r="M65" s="17"/>
    </row>
    <row r="66" spans="2:13" x14ac:dyDescent="0.2">
      <c r="B66" s="17"/>
      <c r="C66" s="17"/>
      <c r="D66" s="17"/>
      <c r="E66" s="17"/>
      <c r="F66" s="17"/>
      <c r="G66" s="17"/>
      <c r="H66" s="17"/>
      <c r="I66" s="17"/>
      <c r="J66" s="17"/>
      <c r="K66" s="17"/>
      <c r="L66" s="17"/>
      <c r="M66" s="17"/>
    </row>
    <row r="67" spans="2:13" x14ac:dyDescent="0.2">
      <c r="B67" s="17"/>
      <c r="C67" s="17"/>
      <c r="D67" s="17"/>
      <c r="E67" s="17"/>
      <c r="F67" s="17"/>
      <c r="G67" s="17"/>
      <c r="H67" s="17"/>
      <c r="I67" s="17"/>
      <c r="J67" s="17"/>
      <c r="K67" s="17"/>
      <c r="L67" s="17"/>
      <c r="M67" s="17"/>
    </row>
    <row r="68" spans="2:13" x14ac:dyDescent="0.2">
      <c r="B68" s="17"/>
      <c r="C68" s="17"/>
      <c r="D68" s="17"/>
      <c r="E68" s="17"/>
      <c r="F68" s="17"/>
      <c r="G68" s="17"/>
      <c r="H68" s="17"/>
      <c r="I68" s="17"/>
      <c r="J68" s="17"/>
      <c r="K68" s="17"/>
      <c r="L68" s="17"/>
      <c r="M68" s="17"/>
    </row>
    <row r="69" spans="2:13" x14ac:dyDescent="0.2">
      <c r="B69" s="17"/>
      <c r="C69" s="17"/>
      <c r="D69" s="17"/>
      <c r="E69" s="17"/>
      <c r="F69" s="17"/>
      <c r="G69" s="17"/>
      <c r="H69" s="17"/>
      <c r="I69" s="17"/>
      <c r="J69" s="17"/>
      <c r="K69" s="17"/>
      <c r="L69" s="17"/>
      <c r="M69" s="17"/>
    </row>
    <row r="70" spans="2:13" x14ac:dyDescent="0.2">
      <c r="B70" s="17"/>
      <c r="C70" s="17"/>
      <c r="D70" s="17"/>
      <c r="E70" s="17"/>
      <c r="F70" s="17"/>
      <c r="G70" s="17"/>
      <c r="H70" s="17"/>
      <c r="I70" s="17"/>
      <c r="J70" s="17"/>
      <c r="K70" s="17"/>
      <c r="L70" s="17"/>
      <c r="M70" s="17"/>
    </row>
    <row r="71" spans="2:13" x14ac:dyDescent="0.2">
      <c r="B71" s="17"/>
      <c r="C71" s="17"/>
      <c r="D71" s="17"/>
      <c r="E71" s="17"/>
      <c r="F71" s="17"/>
      <c r="G71" s="17"/>
      <c r="H71" s="17"/>
      <c r="I71" s="17"/>
      <c r="J71" s="17"/>
      <c r="K71" s="17"/>
      <c r="L71" s="17"/>
      <c r="M71" s="17"/>
    </row>
    <row r="72" spans="2:13" x14ac:dyDescent="0.2">
      <c r="B72" s="17"/>
      <c r="C72" s="17"/>
      <c r="D72" s="17"/>
      <c r="E72" s="17"/>
      <c r="F72" s="17"/>
      <c r="G72" s="17"/>
      <c r="H72" s="17"/>
      <c r="I72" s="17"/>
      <c r="J72" s="17"/>
      <c r="K72" s="17"/>
      <c r="L72" s="17"/>
      <c r="M72" s="17"/>
    </row>
    <row r="73" spans="2:13" x14ac:dyDescent="0.2">
      <c r="B73" s="17"/>
      <c r="C73" s="17"/>
      <c r="D73" s="17"/>
      <c r="E73" s="17"/>
      <c r="F73" s="17"/>
      <c r="G73" s="17"/>
      <c r="H73" s="17"/>
      <c r="I73" s="17"/>
      <c r="J73" s="17"/>
      <c r="K73" s="17"/>
      <c r="L73" s="17"/>
      <c r="M73" s="17"/>
    </row>
    <row r="74" spans="2:13" x14ac:dyDescent="0.2">
      <c r="B74" s="17"/>
      <c r="C74" s="17"/>
      <c r="D74" s="17"/>
      <c r="E74" s="17"/>
      <c r="F74" s="17"/>
      <c r="G74" s="17"/>
      <c r="H74" s="17"/>
      <c r="I74" s="17"/>
      <c r="J74" s="17"/>
      <c r="K74" s="17"/>
      <c r="L74" s="17"/>
      <c r="M74" s="17"/>
    </row>
    <row r="75" spans="2:13" x14ac:dyDescent="0.2">
      <c r="B75" s="17"/>
      <c r="C75" s="17"/>
      <c r="D75" s="17"/>
      <c r="E75" s="17"/>
      <c r="F75" s="17"/>
      <c r="G75" s="17"/>
      <c r="H75" s="17"/>
      <c r="I75" s="17"/>
      <c r="J75" s="17"/>
      <c r="K75" s="17"/>
      <c r="L75" s="17"/>
      <c r="M75" s="17"/>
    </row>
    <row r="76" spans="2:13" x14ac:dyDescent="0.2">
      <c r="B76" s="17"/>
      <c r="C76" s="17"/>
      <c r="D76" s="17"/>
      <c r="E76" s="17"/>
      <c r="F76" s="17"/>
      <c r="G76" s="17"/>
      <c r="H76" s="17"/>
      <c r="I76" s="17"/>
      <c r="J76" s="17"/>
      <c r="K76" s="17"/>
      <c r="L76" s="17"/>
      <c r="M76" s="17"/>
    </row>
    <row r="77" spans="2:13" x14ac:dyDescent="0.2">
      <c r="B77" s="17"/>
      <c r="C77" s="17"/>
      <c r="D77" s="17"/>
      <c r="E77" s="17"/>
      <c r="F77" s="17"/>
      <c r="G77" s="17"/>
      <c r="H77" s="17"/>
      <c r="I77" s="17"/>
      <c r="J77" s="17"/>
      <c r="K77" s="17"/>
      <c r="L77" s="17"/>
      <c r="M77" s="17"/>
    </row>
    <row r="78" spans="2:13" x14ac:dyDescent="0.2">
      <c r="B78" s="17"/>
      <c r="C78" s="17"/>
      <c r="D78" s="17"/>
      <c r="E78" s="17"/>
      <c r="F78" s="17"/>
      <c r="G78" s="17"/>
      <c r="H78" s="17"/>
      <c r="I78" s="17"/>
      <c r="J78" s="17"/>
      <c r="K78" s="17"/>
      <c r="L78" s="17"/>
      <c r="M78" s="17"/>
    </row>
    <row r="79" spans="2:13" x14ac:dyDescent="0.2">
      <c r="B79" s="17"/>
      <c r="C79" s="17"/>
      <c r="D79" s="17"/>
      <c r="E79" s="17"/>
      <c r="F79" s="17"/>
      <c r="G79" s="17"/>
      <c r="H79" s="17"/>
      <c r="I79" s="17"/>
      <c r="J79" s="17"/>
      <c r="K79" s="17"/>
      <c r="L79" s="17"/>
      <c r="M79" s="17"/>
    </row>
    <row r="80" spans="2:13" x14ac:dyDescent="0.2">
      <c r="B80" s="17"/>
      <c r="C80" s="17"/>
      <c r="D80" s="17"/>
      <c r="E80" s="17"/>
      <c r="F80" s="17"/>
      <c r="G80" s="17"/>
      <c r="H80" s="17"/>
      <c r="I80" s="17"/>
      <c r="J80" s="17"/>
      <c r="K80" s="17"/>
      <c r="L80" s="17"/>
      <c r="M80" s="17"/>
    </row>
    <row r="81" spans="2:13" x14ac:dyDescent="0.2">
      <c r="B81" s="17"/>
      <c r="C81" s="17"/>
      <c r="D81" s="17"/>
      <c r="E81" s="17"/>
      <c r="F81" s="17"/>
      <c r="G81" s="17"/>
      <c r="H81" s="17"/>
      <c r="I81" s="17"/>
      <c r="J81" s="17"/>
      <c r="K81" s="17"/>
      <c r="L81" s="17"/>
      <c r="M81" s="17"/>
    </row>
    <row r="82" spans="2:13" x14ac:dyDescent="0.2">
      <c r="B82" s="17"/>
      <c r="C82" s="17"/>
      <c r="D82" s="17"/>
      <c r="E82" s="17"/>
      <c r="F82" s="17"/>
      <c r="G82" s="17"/>
      <c r="H82" s="17"/>
      <c r="I82" s="17"/>
      <c r="J82" s="17"/>
      <c r="K82" s="17"/>
      <c r="L82" s="17"/>
      <c r="M82" s="17"/>
    </row>
    <row r="83" spans="2:13" x14ac:dyDescent="0.2">
      <c r="B83" s="17"/>
      <c r="C83" s="17"/>
      <c r="D83" s="17"/>
      <c r="E83" s="17"/>
      <c r="F83" s="17"/>
      <c r="G83" s="17"/>
      <c r="H83" s="17"/>
      <c r="I83" s="17"/>
      <c r="J83" s="17"/>
      <c r="K83" s="17"/>
      <c r="L83" s="17"/>
      <c r="M83" s="17"/>
    </row>
    <row r="84" spans="2:13" x14ac:dyDescent="0.2">
      <c r="B84" s="17"/>
      <c r="C84" s="17"/>
      <c r="D84" s="17"/>
      <c r="E84" s="17"/>
      <c r="F84" s="17"/>
      <c r="G84" s="17"/>
      <c r="H84" s="17"/>
      <c r="I84" s="17"/>
      <c r="J84" s="17"/>
      <c r="K84" s="17"/>
      <c r="L84" s="17"/>
      <c r="M84" s="17"/>
    </row>
    <row r="85" spans="2:13" x14ac:dyDescent="0.2">
      <c r="B85" s="17"/>
      <c r="C85" s="17"/>
      <c r="D85" s="17"/>
      <c r="E85" s="17"/>
      <c r="F85" s="17"/>
      <c r="G85" s="17"/>
      <c r="H85" s="17"/>
      <c r="I85" s="17"/>
      <c r="J85" s="17"/>
      <c r="K85" s="17"/>
      <c r="L85" s="17"/>
      <c r="M85" s="17"/>
    </row>
    <row r="86" spans="2:13" x14ac:dyDescent="0.2">
      <c r="B86" s="17"/>
      <c r="C86" s="17"/>
      <c r="D86" s="17"/>
      <c r="E86" s="17"/>
      <c r="F86" s="17"/>
      <c r="G86" s="17"/>
      <c r="H86" s="17"/>
      <c r="I86" s="17"/>
      <c r="J86" s="17"/>
      <c r="K86" s="17"/>
      <c r="L86" s="17"/>
      <c r="M86" s="17"/>
    </row>
    <row r="87" spans="2:13" x14ac:dyDescent="0.2">
      <c r="B87" s="17"/>
      <c r="C87" s="17"/>
      <c r="D87" s="17"/>
      <c r="E87" s="17"/>
      <c r="F87" s="17"/>
      <c r="G87" s="17"/>
      <c r="H87" s="17"/>
      <c r="I87" s="17"/>
      <c r="J87" s="17"/>
      <c r="K87" s="17"/>
      <c r="L87" s="17"/>
      <c r="M87" s="17"/>
    </row>
    <row r="88" spans="2:13" x14ac:dyDescent="0.2">
      <c r="B88" s="17"/>
      <c r="C88" s="17"/>
      <c r="D88" s="17"/>
      <c r="E88" s="17"/>
      <c r="F88" s="17"/>
      <c r="G88" s="17"/>
      <c r="H88" s="17"/>
      <c r="I88" s="17"/>
      <c r="J88" s="17"/>
      <c r="K88" s="17"/>
      <c r="L88" s="17"/>
      <c r="M88" s="17"/>
    </row>
    <row r="89" spans="2:13" x14ac:dyDescent="0.2">
      <c r="B89" s="17"/>
      <c r="C89" s="17"/>
      <c r="D89" s="17"/>
      <c r="E89" s="17"/>
      <c r="F89" s="17"/>
      <c r="G89" s="17"/>
      <c r="H89" s="17"/>
      <c r="I89" s="17"/>
      <c r="J89" s="17"/>
      <c r="K89" s="17"/>
      <c r="L89" s="17"/>
      <c r="M89" s="17"/>
    </row>
    <row r="90" spans="2:13" x14ac:dyDescent="0.2">
      <c r="B90" s="17"/>
      <c r="C90" s="17"/>
      <c r="D90" s="17"/>
      <c r="E90" s="17"/>
      <c r="F90" s="17"/>
      <c r="G90" s="17"/>
      <c r="H90" s="17"/>
      <c r="I90" s="17"/>
      <c r="J90" s="17"/>
      <c r="K90" s="17"/>
      <c r="L90" s="17"/>
      <c r="M90" s="17"/>
    </row>
    <row r="91" spans="2:13" x14ac:dyDescent="0.2">
      <c r="B91" s="17"/>
      <c r="C91" s="17"/>
      <c r="D91" s="17"/>
      <c r="E91" s="17"/>
      <c r="F91" s="17"/>
      <c r="G91" s="17"/>
      <c r="H91" s="17"/>
      <c r="I91" s="17"/>
      <c r="J91" s="17"/>
      <c r="K91" s="17"/>
      <c r="L91" s="17"/>
      <c r="M91" s="17"/>
    </row>
    <row r="92" spans="2:13" x14ac:dyDescent="0.2">
      <c r="B92" s="17"/>
      <c r="C92" s="17"/>
      <c r="D92" s="17"/>
      <c r="E92" s="17"/>
      <c r="F92" s="17"/>
      <c r="G92" s="17"/>
      <c r="H92" s="17"/>
      <c r="I92" s="17"/>
      <c r="J92" s="17"/>
      <c r="K92" s="17"/>
      <c r="L92" s="17"/>
      <c r="M92" s="17"/>
    </row>
    <row r="93" spans="2:13" x14ac:dyDescent="0.2">
      <c r="B93" s="17"/>
      <c r="C93" s="17"/>
      <c r="D93" s="17"/>
      <c r="E93" s="17"/>
      <c r="F93" s="17"/>
      <c r="G93" s="17"/>
      <c r="H93" s="17"/>
      <c r="I93" s="17"/>
      <c r="J93" s="17"/>
      <c r="K93" s="17"/>
      <c r="L93" s="17"/>
      <c r="M93" s="17"/>
    </row>
    <row r="94" spans="2:13" x14ac:dyDescent="0.2">
      <c r="B94" s="17"/>
      <c r="C94" s="17"/>
      <c r="D94" s="17"/>
      <c r="E94" s="17"/>
      <c r="F94" s="17"/>
      <c r="G94" s="17"/>
      <c r="H94" s="17"/>
      <c r="I94" s="17"/>
      <c r="J94" s="17"/>
      <c r="K94" s="17"/>
      <c r="L94" s="17"/>
      <c r="M94" s="17"/>
    </row>
    <row r="95" spans="2:13" x14ac:dyDescent="0.2">
      <c r="B95" s="17"/>
      <c r="C95" s="17"/>
      <c r="D95" s="17"/>
      <c r="E95" s="17"/>
      <c r="F95" s="17"/>
      <c r="G95" s="17"/>
      <c r="H95" s="17"/>
      <c r="I95" s="17"/>
      <c r="J95" s="17"/>
      <c r="K95" s="17"/>
      <c r="L95" s="17"/>
      <c r="M95" s="17"/>
    </row>
    <row r="96" spans="2:13" x14ac:dyDescent="0.2">
      <c r="B96" s="17"/>
      <c r="C96" s="17"/>
      <c r="D96" s="17"/>
      <c r="E96" s="17"/>
      <c r="F96" s="17"/>
      <c r="G96" s="17"/>
      <c r="H96" s="17"/>
      <c r="I96" s="17"/>
      <c r="J96" s="17"/>
      <c r="K96" s="17"/>
      <c r="L96" s="17"/>
      <c r="M96" s="17"/>
    </row>
    <row r="97" spans="2:13" x14ac:dyDescent="0.2">
      <c r="B97" s="17"/>
      <c r="C97" s="17"/>
      <c r="D97" s="17"/>
      <c r="E97" s="17"/>
      <c r="F97" s="17"/>
      <c r="G97" s="17"/>
      <c r="H97" s="17"/>
      <c r="I97" s="17"/>
      <c r="J97" s="17"/>
      <c r="K97" s="17"/>
      <c r="L97" s="17"/>
      <c r="M97" s="17"/>
    </row>
    <row r="98" spans="2:13" x14ac:dyDescent="0.2">
      <c r="B98" s="17"/>
      <c r="C98" s="17"/>
      <c r="D98" s="17"/>
      <c r="E98" s="17"/>
      <c r="F98" s="17"/>
      <c r="G98" s="17"/>
      <c r="H98" s="17"/>
      <c r="I98" s="17"/>
      <c r="J98" s="17"/>
      <c r="K98" s="17"/>
      <c r="L98" s="17"/>
      <c r="M98" s="17"/>
    </row>
    <row r="99" spans="2:13" x14ac:dyDescent="0.2">
      <c r="B99" s="17"/>
      <c r="C99" s="17"/>
      <c r="D99" s="17"/>
      <c r="E99" s="17"/>
      <c r="F99" s="17"/>
      <c r="G99" s="17"/>
      <c r="H99" s="17"/>
      <c r="I99" s="17"/>
      <c r="J99" s="17"/>
      <c r="K99" s="17"/>
      <c r="L99" s="17"/>
      <c r="M99" s="17"/>
    </row>
  </sheetData>
  <sheetProtection algorithmName="SHA-512" hashValue="Ma55HpD1NNw7a/gOf2IPEH3HbUKCOTNyul0A+gcL5oo8nVjK/wmq/WnBLIRZ9d5eP+6Dn4tkiE+nHKkxauhzzw==" saltValue="kmBXK4gqrN9fXdazlMltQg==" spinCount="100000" sheet="1" objects="1" scenarios="1"/>
  <dataConsolidate/>
  <mergeCells count="33">
    <mergeCell ref="H16:H19"/>
    <mergeCell ref="H20:H23"/>
    <mergeCell ref="C26:E26"/>
    <mergeCell ref="C27:E27"/>
    <mergeCell ref="H24:H27"/>
    <mergeCell ref="C19:E19"/>
    <mergeCell ref="C24:E24"/>
    <mergeCell ref="C20:E20"/>
    <mergeCell ref="C21:E21"/>
    <mergeCell ref="C22:E22"/>
    <mergeCell ref="B28:B31"/>
    <mergeCell ref="B24:B27"/>
    <mergeCell ref="C29:E29"/>
    <mergeCell ref="C30:E30"/>
    <mergeCell ref="C31:E31"/>
    <mergeCell ref="C28:E28"/>
    <mergeCell ref="C25:E25"/>
    <mergeCell ref="H28:H31"/>
    <mergeCell ref="B4:G4"/>
    <mergeCell ref="B6:D6"/>
    <mergeCell ref="B7:C7"/>
    <mergeCell ref="F7:F9"/>
    <mergeCell ref="B8:C8"/>
    <mergeCell ref="B9:C9"/>
    <mergeCell ref="C23:E23"/>
    <mergeCell ref="A11:M11"/>
    <mergeCell ref="C15:E15"/>
    <mergeCell ref="C16:E16"/>
    <mergeCell ref="C17:E17"/>
    <mergeCell ref="C18:E18"/>
    <mergeCell ref="B16:B19"/>
    <mergeCell ref="B13:C13"/>
    <mergeCell ref="B20:B23"/>
  </mergeCells>
  <phoneticPr fontId="22" type="noConversion"/>
  <conditionalFormatting sqref="G15:G31">
    <cfRule type="expression" dxfId="447" priority="10">
      <formula>$F$7="Performance Framework"</formula>
    </cfRule>
  </conditionalFormatting>
  <conditionalFormatting sqref="H15:J16 I17:J31 H20 H24 H28">
    <cfRule type="expression" dxfId="446" priority="4">
      <formula>$F$7="Performance Framework"</formula>
    </cfRule>
  </conditionalFormatting>
  <conditionalFormatting sqref="F15:F31">
    <cfRule type="expression" dxfId="445" priority="3">
      <formula>$F$7="Performance Framework"</formula>
    </cfRule>
  </conditionalFormatting>
  <conditionalFormatting sqref="I15:I31">
    <cfRule type="expression" dxfId="444" priority="2">
      <formula>$F$7="Reviewer / Coordinating Mechanism"</formula>
    </cfRule>
  </conditionalFormatting>
  <conditionalFormatting sqref="J15:J31">
    <cfRule type="expression" dxfId="443" priority="1">
      <formula>$F$7="Reviewer / Coordinating Mechanism"</formula>
    </cfRule>
  </conditionalFormatting>
  <pageMargins left="0.25" right="0.25" top="0.75" bottom="0.75" header="0.3" footer="0.3"/>
  <pageSetup paperSize="8" fitToHeight="0" orientation="landscape" horizontalDpi="1200" verticalDpi="120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58A627C-B45B-481E-9B97-BDCB30278F78}">
          <x14:formula1>
            <xm:f>EN_PF_DROPDOWN!$A$27:$A$29</xm:f>
          </x14:formula1>
          <xm:sqref>F7:F9</xm:sqref>
        </x14:dataValidation>
        <x14:dataValidation type="list" allowBlank="1" showInputMessage="1" showErrorMessage="1" xr:uid="{1ECD0ECA-52E4-4D6B-8835-38F287545DEF}">
          <x14:formula1>
            <xm:f>EN_PF_DROPDOWN!$A$57:$A$59</xm:f>
          </x14:formula1>
          <xm:sqref>D9</xm:sqref>
        </x14:dataValidation>
        <x14:dataValidation type="list" allowBlank="1" showInputMessage="1" showErrorMessage="1" xr:uid="{A85C4CF0-9D72-4631-AF66-0D3D91B2922F}">
          <x14:formula1>
            <xm:f>EN_PF_DROPDOWN!$W$2:$W$5</xm:f>
          </x14:formula1>
          <xm:sqref>I16:I31 F16:F31</xm:sqref>
        </x14:dataValidation>
        <x14:dataValidation type="list" allowBlank="1" showInputMessage="1" showErrorMessage="1" xr:uid="{47E429C5-1C06-4B2B-BED9-0F77EAA8E2DA}">
          <x14:formula1>
            <xm:f>List_CCM_Names!$A$1:$A$124</xm:f>
          </x14:formula1>
          <xm:sqref>D13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D068-1092-4C29-A79A-F72AF1446060}">
  <sheetPr codeName="Sheet2">
    <tabColor rgb="FF92D050"/>
  </sheetPr>
  <dimension ref="A1:AA129"/>
  <sheetViews>
    <sheetView tabSelected="1" topLeftCell="D46" zoomScale="120" zoomScaleNormal="120" workbookViewId="0">
      <selection activeCell="G47" sqref="G47"/>
    </sheetView>
  </sheetViews>
  <sheetFormatPr defaultColWidth="8.625" defaultRowHeight="14.25" x14ac:dyDescent="0.2"/>
  <cols>
    <col min="1" max="1" width="1.625" style="23" customWidth="1"/>
    <col min="2" max="2" width="5.625" style="23" customWidth="1"/>
    <col min="3" max="3" width="30.375" style="23" customWidth="1"/>
    <col min="4" max="4" width="15.125" style="23" customWidth="1"/>
    <col min="5" max="5" width="1.625" style="23" customWidth="1"/>
    <col min="6" max="6" width="14.375" style="23" customWidth="1"/>
    <col min="7" max="7" width="55.625" style="23" customWidth="1"/>
    <col min="8" max="8" width="7.625" style="23" customWidth="1"/>
    <col min="9" max="9" width="27.625" style="23" customWidth="1"/>
    <col min="10" max="10" width="25.125" style="23" customWidth="1"/>
    <col min="11" max="11" width="20.625" style="23" customWidth="1"/>
    <col min="12" max="12" width="13.625" style="23" customWidth="1"/>
    <col min="13" max="13" width="27.625" style="23" customWidth="1"/>
    <col min="14" max="18" width="5.875" style="23" customWidth="1"/>
    <col min="19" max="16384" width="8.625" style="23"/>
  </cols>
  <sheetData>
    <row r="1" spans="1:27" x14ac:dyDescent="0.2">
      <c r="A1" s="17"/>
      <c r="B1" s="17"/>
      <c r="C1" s="17"/>
      <c r="D1" s="17"/>
      <c r="E1" s="17"/>
      <c r="F1" s="17"/>
      <c r="G1" s="17"/>
      <c r="H1" s="35" t="b" cm="1">
        <f t="array" ref="H1">OR(AND(G25:G55="", L25:L55=""),AND(OR(G25:G55&lt;&gt;"", L25:L55&lt;&gt;""), OR(OR(D19&lt;&gt;"", J13&lt;&gt;""), AND(D13&lt;&gt;"", D14&lt;&gt;""),AND(D13&lt;&gt;"",EN_PF_YearY!D13&lt;&gt;"", EN_PF_YearY!D13=D13),AND(EN_PF_YearY!D13&lt;&gt;"",EN_PF_YearZ!D13&lt;&gt;"",EN_PF_YearY!D13=EN_PF_YearZ!D13), AND(D13&lt;&gt;"",EN_PF_YearZ!D13&lt;&gt;"",D13=EN_PF_YearZ!D13),AND(D14&lt;&gt;"",EN_PF_YearZ!D14&lt;&gt;"",D14=EN_PF_YearZ!D14),AND(EN_PF_YearY!D14&lt;&gt;"",EN_PF_YearZ!D14&lt;&gt;"",EN_PF_YearY!D14=EN_PF_YearZ!D14),AND(EN_PF_YearY!D14&lt;&gt;"",D14&lt;&gt;"",EN_PF_YearY!D14=D14),AND(EN_PF_YearY!D14="Yes",D14="Yes",EN_PF_YearY!D19&lt;&gt;D19),AND(EN_PF_YearY!D14="Yes",EN_PF_YearZ!D14="Yes",EN_PF_YearY!D19&lt;&gt;EN_PF_YearZ!D19),AND(D14="Yes",EN_PF_YearZ!D14="Yes",D19&lt;&gt;EN_PF_YearZ!D19),AND(D14="No",EN_PF_YearZ!D14="No",J13&lt;&gt;EN_PF_YearZ!J13),AND(EN_PF_YearY!D14="No",EN_PF_YearZ!D14="No",EN_PF_YearY!J13&lt;&gt;EN_PF_YearZ!J13),AND(EN_PF_YearY!D14="No",D14="No",EN_PF_YearY!J13&lt;&gt;J13))))</f>
        <v>1</v>
      </c>
      <c r="I1" s="131"/>
      <c r="J1" s="131"/>
      <c r="K1" s="131"/>
      <c r="L1" s="17"/>
      <c r="M1" s="17"/>
      <c r="N1" s="17"/>
    </row>
    <row r="2" spans="1:27" x14ac:dyDescent="0.2">
      <c r="A2" s="17"/>
      <c r="B2" s="17"/>
      <c r="C2" s="17"/>
      <c r="D2" s="17"/>
      <c r="E2" s="17"/>
      <c r="F2" s="17"/>
      <c r="G2" s="17"/>
      <c r="H2" s="17"/>
      <c r="I2" s="131"/>
      <c r="J2" s="131"/>
      <c r="K2" s="131"/>
      <c r="L2" s="17"/>
      <c r="N2" s="17"/>
    </row>
    <row r="3" spans="1:27" s="1" customFormat="1" ht="33.75" x14ac:dyDescent="0.2">
      <c r="A3" s="2"/>
      <c r="B3" s="2"/>
      <c r="C3" s="2"/>
      <c r="D3" s="2"/>
      <c r="E3" s="2"/>
      <c r="F3" s="2"/>
      <c r="G3" s="2"/>
      <c r="H3" s="2"/>
      <c r="I3" s="131"/>
      <c r="J3" s="131"/>
      <c r="K3" s="131"/>
      <c r="L3" s="2"/>
      <c r="M3" s="17"/>
      <c r="N3" s="2"/>
      <c r="O3" s="3"/>
      <c r="P3" s="3"/>
      <c r="Q3" s="3"/>
      <c r="R3" s="3"/>
      <c r="V3" s="3"/>
      <c r="W3" s="3"/>
      <c r="X3" s="3"/>
      <c r="Y3" s="3"/>
      <c r="Z3" s="3"/>
      <c r="AA3" s="3"/>
    </row>
    <row r="4" spans="1:27" ht="33.75" x14ac:dyDescent="0.2">
      <c r="A4" s="17"/>
      <c r="B4" s="380" t="s">
        <v>152</v>
      </c>
      <c r="C4" s="381"/>
      <c r="D4" s="381"/>
      <c r="E4" s="381"/>
      <c r="F4" s="381"/>
      <c r="G4" s="381"/>
      <c r="H4" s="6"/>
      <c r="I4" s="131"/>
      <c r="J4" s="131"/>
      <c r="K4" s="131"/>
      <c r="L4" s="6"/>
      <c r="M4" s="6"/>
      <c r="N4" s="6"/>
      <c r="O4" s="50"/>
      <c r="P4" s="50"/>
      <c r="Q4" s="50"/>
      <c r="R4" s="3"/>
      <c r="S4" s="3"/>
      <c r="T4" s="3"/>
      <c r="U4" s="3"/>
      <c r="V4" s="3"/>
      <c r="W4" s="3"/>
    </row>
    <row r="5" spans="1:27" ht="15" customHeight="1" thickBot="1" x14ac:dyDescent="0.25">
      <c r="A5" s="17"/>
      <c r="B5" s="17"/>
      <c r="C5" s="17"/>
      <c r="D5" s="17"/>
      <c r="E5" s="17"/>
      <c r="F5" s="17"/>
      <c r="G5" s="17"/>
      <c r="H5" s="17"/>
      <c r="I5" s="131"/>
      <c r="J5" s="131"/>
      <c r="K5" s="131"/>
      <c r="L5" s="17"/>
      <c r="M5" s="17"/>
      <c r="N5" s="17"/>
    </row>
    <row r="6" spans="1:27" ht="16.5" thickBot="1" x14ac:dyDescent="0.25">
      <c r="A6" s="17"/>
      <c r="B6" s="383" t="s">
        <v>145</v>
      </c>
      <c r="C6" s="383"/>
      <c r="D6" s="383"/>
      <c r="E6" s="56"/>
      <c r="F6" s="10" t="s">
        <v>144</v>
      </c>
      <c r="G6" s="17"/>
      <c r="H6" s="17"/>
      <c r="I6" s="131"/>
      <c r="J6" s="131"/>
      <c r="K6" s="131"/>
      <c r="L6" s="17"/>
      <c r="M6" s="17"/>
      <c r="N6" s="17"/>
    </row>
    <row r="7" spans="1:27" ht="18" customHeight="1" thickBot="1" x14ac:dyDescent="0.25">
      <c r="A7" s="17"/>
      <c r="B7" s="384" t="s">
        <v>147</v>
      </c>
      <c r="C7" s="384"/>
      <c r="D7" s="7"/>
      <c r="E7" s="56"/>
      <c r="F7" s="385" t="s">
        <v>262</v>
      </c>
      <c r="G7" s="17"/>
      <c r="H7" s="17"/>
      <c r="I7" s="131"/>
      <c r="J7" s="131"/>
      <c r="K7" s="17"/>
      <c r="L7" s="17"/>
      <c r="M7" s="17"/>
      <c r="N7" s="17"/>
    </row>
    <row r="8" spans="1:27" ht="18" customHeight="1" thickBot="1" x14ac:dyDescent="0.25">
      <c r="A8" s="17"/>
      <c r="B8" s="384" t="s">
        <v>201</v>
      </c>
      <c r="C8" s="384"/>
      <c r="D8" s="8"/>
      <c r="E8" s="17"/>
      <c r="F8" s="386"/>
      <c r="G8" s="17"/>
      <c r="H8" s="17"/>
      <c r="I8" s="17"/>
      <c r="J8" s="17"/>
      <c r="K8" s="17"/>
      <c r="L8" s="17"/>
      <c r="M8" s="17"/>
      <c r="N8" s="17"/>
    </row>
    <row r="9" spans="1:27" ht="18" customHeight="1" thickBot="1" x14ac:dyDescent="0.25">
      <c r="A9" s="17"/>
      <c r="B9" s="402" t="s">
        <v>661</v>
      </c>
      <c r="C9" s="384"/>
      <c r="D9" s="14"/>
      <c r="E9" s="17"/>
      <c r="F9" s="386"/>
      <c r="G9" s="17"/>
      <c r="H9" s="17"/>
      <c r="I9" s="17"/>
      <c r="J9" s="17"/>
      <c r="K9" s="17"/>
      <c r="L9" s="17"/>
      <c r="M9" s="17"/>
      <c r="N9" s="17"/>
    </row>
    <row r="10" spans="1:27" s="51" customFormat="1" ht="15" customHeight="1" thickBot="1" x14ac:dyDescent="0.25">
      <c r="A10" s="57"/>
      <c r="B10" s="57"/>
      <c r="C10" s="57"/>
      <c r="D10" s="57"/>
      <c r="E10" s="57"/>
      <c r="F10" s="57"/>
      <c r="G10" s="57"/>
      <c r="H10" s="57"/>
      <c r="I10" s="57"/>
      <c r="J10" s="57"/>
      <c r="K10" s="57"/>
      <c r="L10" s="57"/>
      <c r="M10" s="57"/>
      <c r="N10" s="57"/>
    </row>
    <row r="11" spans="1:27" s="1" customFormat="1" ht="18" customHeight="1" thickBot="1" x14ac:dyDescent="0.25">
      <c r="A11" s="404" t="s">
        <v>124</v>
      </c>
      <c r="B11" s="405"/>
      <c r="C11" s="405"/>
      <c r="D11" s="405"/>
      <c r="E11" s="405"/>
      <c r="F11" s="405"/>
      <c r="G11" s="405"/>
      <c r="H11" s="405"/>
      <c r="I11" s="405"/>
      <c r="J11" s="405"/>
      <c r="K11" s="405"/>
      <c r="L11" s="405"/>
      <c r="M11" s="406"/>
      <c r="N11" s="57"/>
      <c r="O11" s="23"/>
      <c r="P11" s="23"/>
      <c r="Q11" s="23"/>
      <c r="R11" s="23"/>
    </row>
    <row r="12" spans="1:27" x14ac:dyDescent="0.2">
      <c r="A12" s="17"/>
      <c r="B12" s="17"/>
      <c r="C12" s="17"/>
      <c r="D12" s="17"/>
      <c r="E12" s="17"/>
      <c r="F12" s="17"/>
      <c r="G12" s="17"/>
      <c r="H12" s="17"/>
      <c r="I12" s="17"/>
      <c r="J12" s="17"/>
      <c r="K12" s="17"/>
      <c r="L12" s="17"/>
      <c r="M12" s="17"/>
      <c r="N12" s="57"/>
      <c r="S12" s="1"/>
    </row>
    <row r="13" spans="1:27" ht="27" customHeight="1" x14ac:dyDescent="0.2">
      <c r="A13" s="17"/>
      <c r="B13" s="401" t="s">
        <v>215</v>
      </c>
      <c r="C13" s="401"/>
      <c r="D13" s="108" t="str">
        <f>IF(EN_PF_QualitativeBaseline!D13&lt;&gt;"", EN_PF_QualitativeBaseline!D13, "")</f>
        <v>CCM Lao PDR</v>
      </c>
      <c r="E13" s="17"/>
      <c r="F13" s="17"/>
      <c r="G13" s="17"/>
      <c r="H13" s="401" t="s">
        <v>161</v>
      </c>
      <c r="I13" s="401"/>
      <c r="J13" s="21"/>
      <c r="K13" s="17"/>
      <c r="L13" s="17"/>
      <c r="M13" s="17"/>
      <c r="N13" s="17"/>
      <c r="S13" s="1"/>
    </row>
    <row r="14" spans="1:27" ht="27" customHeight="1" x14ac:dyDescent="0.2">
      <c r="A14" s="17"/>
      <c r="B14" s="403" t="s">
        <v>499</v>
      </c>
      <c r="C14" s="401"/>
      <c r="D14" s="210" t="s">
        <v>111</v>
      </c>
      <c r="E14" s="17"/>
      <c r="F14" s="17"/>
      <c r="G14" s="17"/>
      <c r="H14" s="401" t="s">
        <v>162</v>
      </c>
      <c r="I14" s="401"/>
      <c r="J14" s="21"/>
      <c r="K14" s="17"/>
      <c r="L14" s="17"/>
      <c r="M14" s="17"/>
      <c r="N14" s="17"/>
      <c r="S14" s="1"/>
    </row>
    <row r="15" spans="1:27" ht="27" customHeight="1" x14ac:dyDescent="0.2">
      <c r="A15" s="17"/>
      <c r="B15" s="401" t="s">
        <v>443</v>
      </c>
      <c r="C15" s="401"/>
      <c r="D15" s="109" t="s">
        <v>111</v>
      </c>
      <c r="E15" s="17"/>
      <c r="F15" s="17"/>
      <c r="G15" s="17"/>
      <c r="H15" s="17"/>
      <c r="I15" s="17"/>
      <c r="J15" s="17"/>
      <c r="K15" s="17"/>
      <c r="L15" s="17"/>
      <c r="M15" s="17"/>
      <c r="N15" s="17"/>
      <c r="S15" s="1"/>
    </row>
    <row r="16" spans="1:27" x14ac:dyDescent="0.2">
      <c r="A16" s="17"/>
      <c r="B16" s="17"/>
      <c r="C16" s="17"/>
      <c r="D16" s="17"/>
      <c r="E16" s="17"/>
      <c r="F16" s="17"/>
      <c r="G16" s="17"/>
      <c r="H16" s="17"/>
      <c r="I16" s="17"/>
      <c r="J16" s="17"/>
      <c r="K16" s="17"/>
      <c r="L16" s="17"/>
      <c r="M16" s="17"/>
      <c r="N16" s="17"/>
      <c r="S16" s="1"/>
    </row>
    <row r="17" spans="1:19" ht="23.45" customHeight="1" x14ac:dyDescent="0.2">
      <c r="A17" s="17"/>
      <c r="B17" s="403" t="s">
        <v>439</v>
      </c>
      <c r="C17" s="401"/>
      <c r="D17" s="21" t="s">
        <v>746</v>
      </c>
      <c r="E17" s="17"/>
      <c r="F17" s="17"/>
      <c r="G17" s="17"/>
      <c r="H17" s="17"/>
      <c r="I17" s="17"/>
      <c r="J17" s="17"/>
      <c r="K17" s="17"/>
      <c r="L17" s="17"/>
      <c r="M17" s="17"/>
      <c r="N17" s="17"/>
      <c r="S17" s="1"/>
    </row>
    <row r="18" spans="1:19" ht="23.45" customHeight="1" x14ac:dyDescent="0.2">
      <c r="A18" s="17"/>
      <c r="B18" s="401" t="s">
        <v>202</v>
      </c>
      <c r="C18" s="401"/>
      <c r="D18" s="110">
        <v>43739</v>
      </c>
      <c r="E18" s="17"/>
      <c r="F18" s="17"/>
      <c r="G18" s="263" t="str">
        <f>"! In red the inconsistent or missing information"</f>
        <v>! In red the inconsistent or missing information</v>
      </c>
      <c r="H18" s="91"/>
      <c r="I18" s="17"/>
      <c r="J18" s="17"/>
      <c r="K18" s="17"/>
      <c r="L18" s="17"/>
      <c r="M18" s="17"/>
      <c r="N18" s="17"/>
      <c r="S18" s="1"/>
    </row>
    <row r="19" spans="1:19" ht="23.45" customHeight="1" x14ac:dyDescent="0.2">
      <c r="A19" s="17"/>
      <c r="B19" s="401" t="s">
        <v>203</v>
      </c>
      <c r="C19" s="401"/>
      <c r="D19" s="111">
        <v>44926</v>
      </c>
      <c r="E19" s="17"/>
      <c r="F19" s="17"/>
      <c r="G19" s="85"/>
      <c r="H19" s="17"/>
      <c r="I19" s="17"/>
      <c r="J19" s="17"/>
      <c r="K19" s="17"/>
      <c r="L19" s="17"/>
      <c r="M19" s="17"/>
      <c r="N19" s="17"/>
      <c r="S19" s="1"/>
    </row>
    <row r="20" spans="1:19" ht="23.45" customHeight="1" x14ac:dyDescent="0.2">
      <c r="A20" s="17"/>
      <c r="B20" s="403" t="s">
        <v>151</v>
      </c>
      <c r="C20" s="411"/>
      <c r="D20" s="110" t="s">
        <v>117</v>
      </c>
      <c r="E20" s="17"/>
      <c r="F20" s="17"/>
      <c r="G20" s="17"/>
      <c r="H20" s="17"/>
      <c r="I20" s="17"/>
      <c r="J20" s="17"/>
      <c r="K20" s="17"/>
      <c r="L20" s="17"/>
      <c r="M20" s="17"/>
      <c r="N20" s="17"/>
      <c r="S20" s="1"/>
    </row>
    <row r="21" spans="1:19" ht="23.45" customHeight="1" x14ac:dyDescent="0.2">
      <c r="A21" s="17"/>
      <c r="B21" s="403" t="s">
        <v>500</v>
      </c>
      <c r="C21" s="401"/>
      <c r="D21" s="113"/>
      <c r="E21" s="17"/>
      <c r="F21" s="17"/>
      <c r="G21" s="17"/>
      <c r="H21" s="17"/>
      <c r="I21" s="17"/>
      <c r="J21" s="17"/>
      <c r="K21" s="17"/>
      <c r="L21" s="17"/>
      <c r="M21" s="17"/>
      <c r="N21" s="17"/>
      <c r="S21" s="1"/>
    </row>
    <row r="22" spans="1:19" ht="33.6" customHeight="1" thickBot="1" x14ac:dyDescent="0.25">
      <c r="A22" s="17"/>
      <c r="B22" s="17"/>
      <c r="C22" s="17"/>
      <c r="D22" s="412" t="str" cm="1">
        <f t="array" ref="D22">_xlfn.IFS(F7="Performance Framework","",D15="","",AND(D15="Yes",D20=""),"",AND(D15="Yes",D20&lt;&gt;""),_xlfn.CONCAT("Evaluation ",D20),AND(D15="No",J14=""),"",AND(D15="No",J14&lt;&gt;""),_xlfn.CONCAT("Update Year ",J14))</f>
        <v>Evaluation Year 3</v>
      </c>
      <c r="E22" s="412"/>
      <c r="F22" s="412"/>
      <c r="G22" s="114" t="str">
        <f>IF(D21="In-depth (Qualitative baseline)", "Qualitative Assessment","Annual Check")</f>
        <v>Annual Check</v>
      </c>
      <c r="H22" s="17"/>
      <c r="I22" s="17"/>
      <c r="J22" s="17"/>
      <c r="K22" s="131"/>
      <c r="L22" s="17"/>
      <c r="M22" s="17"/>
      <c r="N22" s="17"/>
      <c r="S22" s="1"/>
    </row>
    <row r="23" spans="1:19" ht="18" customHeight="1" thickBot="1" x14ac:dyDescent="0.25">
      <c r="A23" s="404" t="s">
        <v>173</v>
      </c>
      <c r="B23" s="405"/>
      <c r="C23" s="405"/>
      <c r="D23" s="405"/>
      <c r="E23" s="405"/>
      <c r="F23" s="405"/>
      <c r="G23" s="405"/>
      <c r="H23" s="405"/>
      <c r="I23" s="405"/>
      <c r="J23" s="405"/>
      <c r="K23" s="405"/>
      <c r="L23" s="405"/>
      <c r="M23" s="406"/>
      <c r="N23" s="17"/>
      <c r="S23" s="1"/>
    </row>
    <row r="24" spans="1:19" ht="15" customHeight="1" x14ac:dyDescent="0.2">
      <c r="A24" s="17"/>
      <c r="B24" s="17"/>
      <c r="C24" s="17"/>
      <c r="D24" s="17"/>
      <c r="E24" s="17"/>
      <c r="F24" s="17"/>
      <c r="G24" s="17"/>
      <c r="H24" s="17"/>
      <c r="I24" s="17"/>
      <c r="J24" s="17"/>
      <c r="K24" s="17"/>
      <c r="L24" s="17"/>
      <c r="M24" s="17"/>
      <c r="N24" s="17"/>
    </row>
    <row r="25" spans="1:19" s="52" customFormat="1" ht="31.5" x14ac:dyDescent="0.2">
      <c r="A25" s="58"/>
      <c r="B25" s="48" t="s">
        <v>148</v>
      </c>
      <c r="C25" s="48" t="s">
        <v>150</v>
      </c>
      <c r="D25" s="391" t="s">
        <v>153</v>
      </c>
      <c r="E25" s="392"/>
      <c r="F25" s="393"/>
      <c r="G25" s="49" t="s">
        <v>158</v>
      </c>
      <c r="H25" s="48" t="s">
        <v>156</v>
      </c>
      <c r="I25" s="48" t="s">
        <v>143</v>
      </c>
      <c r="J25" s="48" t="s">
        <v>159</v>
      </c>
      <c r="K25" s="48" t="s">
        <v>689</v>
      </c>
      <c r="L25" s="49" t="s">
        <v>172</v>
      </c>
      <c r="M25" s="48" t="s">
        <v>163</v>
      </c>
      <c r="N25" s="17"/>
      <c r="O25" s="17"/>
      <c r="P25" s="17"/>
      <c r="Q25" s="23"/>
      <c r="R25" s="23"/>
    </row>
    <row r="26" spans="1:19" ht="110.1" customHeight="1" x14ac:dyDescent="0.2">
      <c r="A26" s="17"/>
      <c r="B26" s="322" t="s">
        <v>110</v>
      </c>
      <c r="C26" s="407" t="s">
        <v>175</v>
      </c>
      <c r="D26" s="341" t="s">
        <v>155</v>
      </c>
      <c r="E26" s="410"/>
      <c r="F26" s="410"/>
      <c r="G26" s="82" t="s">
        <v>519</v>
      </c>
      <c r="H26" s="72" t="str" cm="1">
        <f t="array" ref="H26">_xlfn.IFS(G26=EN_PF_DROPDOWN!$C$3,"3",G26=EN_PF_DROPDOWN!$C$4,"2",G26=EN_PF_DROPDOWN!$C$5,"1",G26=EN_PF_DROPDOWN!$C$6,"0",G26="","")</f>
        <v>2</v>
      </c>
      <c r="I26" s="53" t="s">
        <v>747</v>
      </c>
      <c r="J26" s="61" t="str" cm="1">
        <f t="array" ref="J26">_xlfn.IFS(G26=EN_PF_DROPDOWN!$C$3,EN_PF_DROPDOWN!$E$3,G26=EN_PF_DROPDOWN!$C$4,EN_PF_DROPDOWN!$E$4,G26=EN_PF_DROPDOWN!$C$5,EN_PF_DROPDOWN!$E$5,G26=EN_PF_DROPDOWN!$C$6,EN_PF_DROPDOWN!$E$6,G26=EN_PF_DROPDOWN!$C$6,0,G26="","")</f>
        <v>Updated Oversight Plan with relevant annexes (i.e. information exchange/collection tools)
CM/OC meeting minutes showing regular meetings and 50-85% of activities in the Oversight plan implemented</v>
      </c>
      <c r="K26" s="78" t="str" cm="1">
        <f t="array" ref="K26">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OR(AND(H26="", L26=""), AND($D$20="",$J$14=""), AND(L26="", H26&lt;&gt;"",$D$14="Yes",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1",$J$14&lt;&gt;1),H26&lt;&gt;"", OR(AND(OR(EN_PF_YearY!$J$14= 1, EN_PF_YearY!$D$20="Year 1"), EN_PF_YearY!L26="",  OR($D$20="Year 2", $J$14 =2)), AND(OR(EN_PF_YearY!$J$14= 2, EN_PF_YearY!$D$20="Year 2"), EN_PF_YearY!L26="",  OR($D$20="Year 3", $J$14 =3)))), AND(OR($D$20&lt;&gt;"",$J$14&lt;&gt;""),AND($D$20&lt;&gt;"Year 1",$J$14&lt;&gt;1),L26="", H26&lt;&gt;"", OR(AND(OR(EN_PF_YearZ!$J$14= 1, EN_PF_YearZ!$D$20="Year 1"), EN_PF_YearZ!L26="",  OR($D$20="Year 2", $J$14 =2)), AND(OR(EN_PF_YearZ!$J$14= 2, EN_PF_YearZ!$D$20="Year 2"), EN_PF_YearZ!L26="",  OR($D$20="Year 3", $J$14 =3)))))), "", AND(L26="", H26&lt;&gt;"",$D$14="Yes",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",EN_PF_QualitativeBaseline!$I$16,"     Preliminary score = ",H26), AND(OR($D$20&lt;&gt;"",$J$14&lt;&gt;""),AND($D$20&lt;&gt;"Year 1",$J$14&lt;&gt;1),L26="", H26&lt;&gt;"", OR(AND(OR(EN_PF_YearY!$J$14= 1, EN_PF_YearY!$D$20="Year 1"), EN_PF_YearY!L26&lt;&gt;"",  OR($D$20="Year 2", $J$14 =2)), AND(OR(EN_PF_YearY!$J$14= 2, EN_PF_YearY!$D$20="Year 2"), EN_PF_YearY!L26&lt;&gt;"",  OR($D$20="Year 3", $J$14 =3)))), _xlfn.CONCAT("Validated old score = ",EN_PF_YearY!L26,"          Preliminary score = ",H26), AND(OR($D$20&lt;&gt;"",$J$14&lt;&gt;""),AND($D$20&lt;&gt;"Year 1",$J$14&lt;&gt;1),L26="", H26&lt;&gt;"", OR(AND(OR(EN_PF_YearZ!$J$14= 1, EN_PF_YearZ!$D$20="Year 1"), EN_PF_YearZ!L26&lt;&gt;"",  OR($D$20="Year 2", $J$14 =2)), AND(OR(EN_PF_YearZ!$J$14= 2, EN_PF_YearZ!$D$20="Year 2"), EN_PF_YearZ!L26&lt;&gt;"",  OR($D$20="Year 3", $J$14 =3)))), _xlfn.CONCAT("Validated old score = ",EN_PF_YearZ!L26,"          Preliminary score = ",H26), AND(OR($D$20&lt;&gt;"",$J$14&lt;&gt;""),AND($D$20&lt;&gt;"Year 1",$J$14&lt;&gt;1),L26&lt;&gt;"", OR(AND(OR(EN_PF_YearY!$J$14= 1, EN_PF_YearY!$D$20="Year 1"), EN_PF_YearY!L26&lt;&gt;"",  OR($D$20="Year 2", $J$14 =2)), AND(OR(EN_PF_YearY!$J$14= 2, EN_PF_YearY!$D$20="Year 2"), EN_PF_YearY!L26&lt;&gt;"",  OR($D$20="Year 3", $J$14 =3)))), _xlfn.CONCAT("Validated old score = ",EN_PF_YearY!L26,"               Validated new score = ",L26), AND(OR($D$20&lt;&gt;"",$J$14&lt;&gt;""),AND($D$20&lt;&gt;"Year 1",$J$14&lt;&gt;1),L26="", H26&lt;&gt;"", OR(AND(OR(EN_PF_YearZ!$J$14= 1, EN_PF_YearZ!$D$20="Year 1"), EN_PF_YearZ!L26&lt;&gt;"",  OR($D$20="Year 2", $J$14 =2)), AND(OR(EN_PF_YearZ!$J$14= 2, EN_PF_YearZ!$D$20="Year 2"), EN_PF_YearZ!L26&lt;&gt;"",  OR($D$20="Year 3", $J$14 =3)))), _xlfn.CONCAT("Validated old score = ",EN_PF_YearZ!L26,"               Validated new score = ",L26),AND(L26&lt;&gt;"",$D$14="Yes",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",EN_PF_QualitativeBaseline!$I$16,"               Validated new score = ",L26), AND(OR($D$14="No", $D$14="", EN_PF_QualitativeBaseline!$I$16=""),OR($D$20="Year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26" s="74"/>
      <c r="M26" s="53"/>
      <c r="N26" s="17"/>
      <c r="O26" s="17"/>
      <c r="P26" s="17"/>
      <c r="R26" s="54"/>
    </row>
    <row r="27" spans="1:19" ht="110.1" customHeight="1" x14ac:dyDescent="0.2">
      <c r="A27" s="17"/>
      <c r="B27" s="323"/>
      <c r="C27" s="408"/>
      <c r="D27" s="387" t="s">
        <v>610</v>
      </c>
      <c r="E27" s="415"/>
      <c r="F27" s="416"/>
      <c r="G27" s="80" t="s">
        <v>521</v>
      </c>
      <c r="H27" s="73" t="str" cm="1">
        <f t="array" ref="H27">_xlfn.IFS(G27=EN_PF_DROPDOWN!$C$9,"3",G27=EN_PF_DROPDOWN!$C$10,"2",G27=EN_PF_DROPDOWN!$C$11,"1",G27=EN_PF_DROPDOWN!$C$12,"0",G27="","")</f>
        <v>3</v>
      </c>
      <c r="I27" s="55"/>
      <c r="J27" s="62" t="str" cm="1">
        <f t="array" ref="J27">_xlfn.IFS(G27=EN_PF_DROPDOWN!$C$9,EN_PF_DROPDOWN!$E$9,G27=EN_PF_DROPDOWN!$C$10,EN_PF_DROPDOWN!$E$10,G27=EN_PF_DROPDOWN!$C$11,EN_PF_DROPDOWN!$E$11,G27=EN_PF_DROPDOWN!$C$12,EN_PF_DROPDOWN!$E$12,G27="","")</f>
        <v xml:space="preserve">OC terms of reference (TORs)
List of OC members (Partner Portal - GED updated in the last 6 months)
CVs of OC members
Minutes documenting nomination of OC members show presence of 100% of members with required skill sets and full alignment with grant and national priorities and objectives </v>
      </c>
      <c r="K27" s="78" t="str" cm="1">
        <f t="array" ref="K27">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OR(AND(H27="", L27=""), AND($D$20="",$J$14=""), AND(L27="", H27&lt;&gt;"",$D$14="Yes",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1",$J$14&lt;&gt;1),H27&lt;&gt;"", OR(AND(OR(EN_PF_YearY!$J$14= 1, EN_PF_YearY!$D$20="Year 1"), EN_PF_YearY!L27="",  OR($D$20="Year 2", $J$14 =2)), AND(OR(EN_PF_YearY!$J$14= 2, EN_PF_YearY!$D$20="Year 2"), EN_PF_YearY!L27="",  OR($D$20="Year 3", $J$14 =3)))), AND(OR($D$20&lt;&gt;"",$J$14&lt;&gt;""),AND($D$20&lt;&gt;"Year 1",$J$14&lt;&gt;1),L27="", H27&lt;&gt;"", OR(AND(OR(EN_PF_YearZ!$J$14= 1, EN_PF_YearZ!$D$20="Year 1"), EN_PF_YearZ!L27="",  OR($D$20="Year 2", $J$14 =2)), AND(OR(EN_PF_YearZ!$J$14= 2, EN_PF_YearZ!$D$20="Year 2"), EN_PF_YearZ!L27="",  OR($D$20="Year 3", $J$14 =3)))))), "", AND(L27="", H27&lt;&gt;"",$D$14="Yes",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",EN_PF_QualitativeBaseline!$I$16,"     Preliminary score = ",H27), AND(OR($D$20&lt;&gt;"",$J$14&lt;&gt;""),AND($D$20&lt;&gt;"Year 1",$J$14&lt;&gt;1),L27="", H27&lt;&gt;"", OR(AND(OR(EN_PF_YearY!$J$14= 1, EN_PF_YearY!$D$20="Year 1"), EN_PF_YearY!L27&lt;&gt;"",  OR($D$20="Year 2", $J$14 =2)), AND(OR(EN_PF_YearY!$J$14= 2, EN_PF_YearY!$D$20="Year 2"), EN_PF_YearY!L27&lt;&gt;"",  OR($D$20="Year 3", $J$14 =3)))), _xlfn.CONCAT("Validated old score = ",EN_PF_YearY!L27,"          Preliminary score = ",H27), AND(OR($D$20&lt;&gt;"",$J$14&lt;&gt;""),AND($D$20&lt;&gt;"Year 1",$J$14&lt;&gt;1),L27="", H27&lt;&gt;"", OR(AND(OR(EN_PF_YearZ!$J$14= 1, EN_PF_YearZ!$D$20="Year 1"), EN_PF_YearZ!L27&lt;&gt;"",  OR($D$20="Year 2", $J$14 =2)), AND(OR(EN_PF_YearZ!$J$14= 2, EN_PF_YearZ!$D$20="Year 2"), EN_PF_YearZ!L27&lt;&gt;"",  OR($D$20="Year 3", $J$14 =3)))), _xlfn.CONCAT("Validated old score = ",EN_PF_YearZ!L27,"          Preliminary score = ",H27), AND(OR($D$20&lt;&gt;"",$J$14&lt;&gt;""),AND($D$20&lt;&gt;"Year 1",$J$14&lt;&gt;1),L27&lt;&gt;"", OR(AND(OR(EN_PF_YearY!$J$14= 1, EN_PF_YearY!$D$20="Year 1"), EN_PF_YearY!L27&lt;&gt;"",  OR($D$20="Year 2", $J$14 =2)), AND(OR(EN_PF_YearY!$J$14= 2, EN_PF_YearY!$D$20="Year 2"), EN_PF_YearY!L27&lt;&gt;"",  OR($D$20="Year 3", $J$14 =3)))), _xlfn.CONCAT("Validated old score = ",EN_PF_YearY!L27,"               Validated new score = ",L27), AND(OR($D$20&lt;&gt;"",$J$14&lt;&gt;""),AND($D$20&lt;&gt;"Year 1",$J$14&lt;&gt;1),L27="", H27&lt;&gt;"", OR(AND(OR(EN_PF_YearZ!$J$14= 1, EN_PF_YearZ!$D$20="Year 1"), EN_PF_YearZ!L27&lt;&gt;"",  OR($D$20="Year 2", $J$14 =2)), AND(OR(EN_PF_YearZ!$J$14= 2, EN_PF_YearZ!$D$20="Year 2"), EN_PF_YearZ!L27&lt;&gt;"",  OR($D$20="Year 3", $J$14 =3)))), _xlfn.CONCAT("Validated old score = ",EN_PF_YearZ!L27,"               Validated new score = ",L27),AND(L27&lt;&gt;"",$D$14="Yes",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",EN_PF_QualitativeBaseline!$I$16,"               Validated new score = ",L27), AND(OR($D$14="No", $D$14="", EN_PF_QualitativeBaseline!$I$16=""),OR($D$20="Year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3</v>
      </c>
      <c r="L27" s="74"/>
      <c r="M27" s="55"/>
      <c r="N27" s="17"/>
      <c r="O27" s="17"/>
      <c r="P27" s="17"/>
      <c r="R27" s="54"/>
    </row>
    <row r="28" spans="1:19" ht="110.1" customHeight="1" x14ac:dyDescent="0.2">
      <c r="A28" s="17"/>
      <c r="B28" s="323"/>
      <c r="C28" s="409"/>
      <c r="D28" s="341" t="s">
        <v>653</v>
      </c>
      <c r="E28" s="341"/>
      <c r="F28" s="341"/>
      <c r="G28" s="80" t="s">
        <v>378</v>
      </c>
      <c r="H28" s="73" t="str" cm="1">
        <f t="array" ref="H28">_xlfn.IFS(G28=EN_PF_DROPDOWN!$C$15,"3",G28=EN_PF_DROPDOWN!$C$16,"2",G28=EN_PF_DROPDOWN!$C$17,"0",G28="","")</f>
        <v>2</v>
      </c>
      <c r="I28" s="55"/>
      <c r="J28" s="62" t="str" cm="1">
        <f t="array" ref="J28">_xlfn.IFS(G28=EN_PF_DROPDOWN!$C$15,EN_PF_DROPDOWN!$E$15,G28=EN_PF_DROPDOWN!$C$16,EN_PF_DROPDOWN!$E$16,G28=EN_PF_DROPDOWN!$C$17,EN_PF_DROPDOWN!$E$17,G28="","")</f>
        <v>CCM Bylaws / Governance Manual specifying OC committee composition or OC terms of reference (TORs)
List of OC members (Partner Portal - GED updated in the last 6 months)
CVs or short bios of OC KVP and PLWIDs members</v>
      </c>
      <c r="K28" s="78" t="str" cm="1">
        <f t="array" ref="K28">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OR(AND(H28="", L28=""), AND($D$20="",$J$14=""), AND(L28="", H28&lt;&gt;"",$D$14="Yes",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1",$J$14&lt;&gt;1),H28&lt;&gt;"", OR(AND(OR(EN_PF_YearY!$J$14= 1, EN_PF_YearY!$D$20="Year 1"), EN_PF_YearY!L28="",  OR($D$20="Year 2", $J$14 =2)), AND(OR(EN_PF_YearY!$J$14= 2, EN_PF_YearY!$D$20="Year 2"), EN_PF_YearY!L28="",  OR($D$20="Year 3", $J$14 =3)))), AND(OR($D$20&lt;&gt;"",$J$14&lt;&gt;""),AND($D$20&lt;&gt;"Year 1",$J$14&lt;&gt;1),L28="", H28&lt;&gt;"", OR(AND(OR(EN_PF_YearZ!$J$14= 1, EN_PF_YearZ!$D$20="Year 1"), EN_PF_YearZ!L28="",  OR($D$20="Year 2", $J$14 =2)), AND(OR(EN_PF_YearZ!$J$14= 2, EN_PF_YearZ!$D$20="Year 2"), EN_PF_YearZ!L28="",  OR($D$20="Year 3", $J$14 =3)))))), "", AND(L28="", H28&lt;&gt;"",$D$14="Yes",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",EN_PF_QualitativeBaseline!$I$16,"     Preliminary score = ",H28), AND(OR($D$20&lt;&gt;"",$J$14&lt;&gt;""),AND($D$20&lt;&gt;"Year 1",$J$14&lt;&gt;1),L28="", H28&lt;&gt;"", OR(AND(OR(EN_PF_YearY!$J$14= 1, EN_PF_YearY!$D$20="Year 1"), EN_PF_YearY!L28&lt;&gt;"",  OR($D$20="Year 2", $J$14 =2)), AND(OR(EN_PF_YearY!$J$14= 2, EN_PF_YearY!$D$20="Year 2"), EN_PF_YearY!L28&lt;&gt;"",  OR($D$20="Year 3", $J$14 =3)))), _xlfn.CONCAT("Validated old score = ",EN_PF_YearY!L28,"          Preliminary score = ",H28), AND(OR($D$20&lt;&gt;"",$J$14&lt;&gt;""),AND($D$20&lt;&gt;"Year 1",$J$14&lt;&gt;1),L28="", H28&lt;&gt;"", OR(AND(OR(EN_PF_YearZ!$J$14= 1, EN_PF_YearZ!$D$20="Year 1"), EN_PF_YearZ!L28&lt;&gt;"",  OR($D$20="Year 2", $J$14 =2)), AND(OR(EN_PF_YearZ!$J$14= 2, EN_PF_YearZ!$D$20="Year 2"), EN_PF_YearZ!L28&lt;&gt;"",  OR($D$20="Year 3", $J$14 =3)))), _xlfn.CONCAT("Validated old score = ",EN_PF_YearZ!L28,"          Preliminary score = ",H28), AND(OR($D$20&lt;&gt;"",$J$14&lt;&gt;""),AND($D$20&lt;&gt;"Year 1",$J$14&lt;&gt;1),L28&lt;&gt;"", OR(AND(OR(EN_PF_YearY!$J$14= 1, EN_PF_YearY!$D$20="Year 1"), EN_PF_YearY!L28&lt;&gt;"",  OR($D$20="Year 2", $J$14 =2)), AND(OR(EN_PF_YearY!$J$14= 2, EN_PF_YearY!$D$20="Year 2"), EN_PF_YearY!L28&lt;&gt;"",  OR($D$20="Year 3", $J$14 =3)))), _xlfn.CONCAT("Validated old score = ",EN_PF_YearY!L28,"               Validated new score = ",L28), AND(OR($D$20&lt;&gt;"",$J$14&lt;&gt;""),AND($D$20&lt;&gt;"Year 1",$J$14&lt;&gt;1),L28="", H28&lt;&gt;"", OR(AND(OR(EN_PF_YearZ!$J$14= 1, EN_PF_YearZ!$D$20="Year 1"), EN_PF_YearZ!L28&lt;&gt;"",  OR($D$20="Year 2", $J$14 =2)), AND(OR(EN_PF_YearZ!$J$14= 2, EN_PF_YearZ!$D$20="Year 2"), EN_PF_YearZ!L28&lt;&gt;"",  OR($D$20="Year 3", $J$14 =3)))), _xlfn.CONCAT("Validated old score = ",EN_PF_YearZ!L28,"               Validated new score = ",L28),AND(L28&lt;&gt;"",$D$14="Yes",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",EN_PF_QualitativeBaseline!$I$16,"               Validated new score = ",L28), AND(OR($D$14="No", $D$14="", EN_PF_QualitativeBaseline!$I$16=""),OR($D$20="Year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28" s="74"/>
      <c r="M28" s="55"/>
      <c r="N28" s="17"/>
      <c r="O28" s="17"/>
      <c r="P28" s="17"/>
      <c r="R28" s="54"/>
    </row>
    <row r="29" spans="1:19" ht="110.1" customHeight="1" x14ac:dyDescent="0.2">
      <c r="A29" s="17"/>
      <c r="B29" s="323"/>
      <c r="C29" s="47" t="s">
        <v>176</v>
      </c>
      <c r="D29" s="341" t="s">
        <v>609</v>
      </c>
      <c r="E29" s="341"/>
      <c r="F29" s="341"/>
      <c r="G29" s="80" t="s">
        <v>524</v>
      </c>
      <c r="H29" s="73" t="str" cm="1">
        <f t="array" ref="H29">_xlfn.IFS(G29=EN_PF_DROPDOWN!$C$19,"3",G29=EN_PF_DROPDOWN!$C$20,"2",G29=EN_PF_DROPDOWN!$C$21,"1",G29=EN_PF_DROPDOWN!$C$22,"0",G29="","")</f>
        <v>2</v>
      </c>
      <c r="I29" s="55"/>
      <c r="J29" s="62" t="str" cm="1">
        <f t="array" ref="J29">_xlfn.IFS(G29=EN_PF_DROPDOWN!$C$19,EN_PF_DROPDOWN!$E$19,G29=EN_PF_DROPDOWN!$C$20,EN_PF_DROPDOWN!$E$20,G29=EN_PF_DROPDOWN!$C$21,EN_PF_DROPDOWN!$E$21,G29=EN_PF_DROPDOWN!$C$22,EN_PF_DROPDOWN!$E$22,G29="","")</f>
        <v>Site visit reports
Consultation minutes
Data collection tools
OC meeting minutes</v>
      </c>
      <c r="K29" s="78" t="str" cm="1">
        <f t="array" ref="K29">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OR(AND(H29="", L29=""), AND($D$20="",$J$14=""), AND(L29="", H29&lt;&gt;"",$D$14="Yes",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1",$J$14&lt;&gt;1),H29&lt;&gt;"", OR(AND(OR(EN_PF_YearY!$J$14= 1, EN_PF_YearY!$D$20="Year 1"), EN_PF_YearY!L29="",  OR($D$20="Year 2", $J$14 =2)), AND(OR(EN_PF_YearY!$J$14= 2, EN_PF_YearY!$D$20="Year 2"), EN_PF_YearY!L29="",  OR($D$20="Year 3", $J$14 =3)))), AND(OR($D$20&lt;&gt;"",$J$14&lt;&gt;""),AND($D$20&lt;&gt;"Year 1",$J$14&lt;&gt;1),L29="", H29&lt;&gt;"", OR(AND(OR(EN_PF_YearZ!$J$14= 1, EN_PF_YearZ!$D$20="Year 1"), EN_PF_YearZ!L29="",  OR($D$20="Year 2", $J$14 =2)), AND(OR(EN_PF_YearZ!$J$14= 2, EN_PF_YearZ!$D$20="Year 2"), EN_PF_YearZ!L29="",  OR($D$20="Year 3", $J$14 =3)))))), "", AND(L29="", H29&lt;&gt;"",$D$14="Yes",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",EN_PF_QualitativeBaseline!$I$17,"     Preliminary score = ",H29), AND(OR($D$20&lt;&gt;"",$J$14&lt;&gt;""),AND($D$20&lt;&gt;"Year 1",$J$14&lt;&gt;1),L29="", H29&lt;&gt;"", OR(AND(OR(EN_PF_YearY!$J$14= 1, EN_PF_YearY!$D$20="Year 1"), EN_PF_YearY!L29&lt;&gt;"",  OR($D$20="Year 2", $J$14 =2)), AND(OR(EN_PF_YearY!$J$14= 2, EN_PF_YearY!$D$20="Year 2"), EN_PF_YearY!L29&lt;&gt;"",  OR($D$20="Year 3", $J$14 =3)))), _xlfn.CONCAT("Validated old score = ",EN_PF_YearY!L29,"          Preliminary score = ",H29), AND(OR($D$20&lt;&gt;"",$J$14&lt;&gt;""),AND($D$20&lt;&gt;"Year 1",$J$14&lt;&gt;1),L29="", H29&lt;&gt;"", OR(AND(OR(EN_PF_YearZ!$J$14= 1, EN_PF_YearZ!$D$20="Year 1"), EN_PF_YearZ!L29&lt;&gt;"",  OR($D$20="Year 2", $J$14 =2)), AND(OR(EN_PF_YearZ!$J$14= 2, EN_PF_YearZ!$D$20="Year 2"), EN_PF_YearZ!L29&lt;&gt;"",  OR($D$20="Year 3", $J$14 =3)))), _xlfn.CONCAT("Validated old score = ",EN_PF_YearZ!L29,"          Preliminary score = ",H29), AND(OR($D$20&lt;&gt;"",$J$14&lt;&gt;""),AND($D$20&lt;&gt;"Year 1",$J$14&lt;&gt;1),L29&lt;&gt;"", OR(AND(OR(EN_PF_YearY!$J$14= 1, EN_PF_YearY!$D$20="Year 1"), EN_PF_YearY!L29&lt;&gt;"",  OR($D$20="Year 2", $J$14 =2)), AND(OR(EN_PF_YearY!$J$14= 2, EN_PF_YearY!$D$20="Year 2"), EN_PF_YearY!L29&lt;&gt;"",  OR($D$20="Year 3", $J$14 =3)))), _xlfn.CONCAT("Validated old score = ",EN_PF_YearY!L29,"               Validated new score = ",L29), AND(OR($D$20&lt;&gt;"",$J$14&lt;&gt;""),AND($D$20&lt;&gt;"Year 1",$J$14&lt;&gt;1),L29="", H29&lt;&gt;"", OR(AND(OR(EN_PF_YearZ!$J$14= 1, EN_PF_YearZ!$D$20="Year 1"), EN_PF_YearZ!L29&lt;&gt;"",  OR($D$20="Year 2", $J$14 =2)), AND(OR(EN_PF_YearZ!$J$14= 2, EN_PF_YearZ!$D$20="Year 2"), EN_PF_YearZ!L29&lt;&gt;"",  OR($D$20="Year 3", $J$14 =3)))), _xlfn.CONCAT("Validated old score = ",EN_PF_YearZ!L29,"               Validated new score = ",L29),AND(L29&lt;&gt;"",$D$14="Yes",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",EN_PF_QualitativeBaseline!$I$17,"               Validated new score = ",L29), AND(OR($D$14="No", $D$14="", EN_PF_QualitativeBaseline!$I$17=""),OR($D$20="Year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29" s="74"/>
      <c r="M29" s="55"/>
      <c r="N29" s="17"/>
      <c r="O29" s="17"/>
      <c r="P29" s="17"/>
      <c r="R29" s="54"/>
    </row>
    <row r="30" spans="1:19" ht="110.1" customHeight="1" x14ac:dyDescent="0.2">
      <c r="A30" s="17"/>
      <c r="B30" s="323"/>
      <c r="C30" s="407" t="s">
        <v>180</v>
      </c>
      <c r="D30" s="341" t="s">
        <v>527</v>
      </c>
      <c r="E30" s="341"/>
      <c r="F30" s="341"/>
      <c r="G30" s="80" t="s">
        <v>415</v>
      </c>
      <c r="H30" s="73" t="str" cm="1">
        <f t="array" ref="H30">_xlfn.IFS(G30=EN_PF_DROPDOWN!$C$25,"3",G30=EN_PF_DROPDOWN!$C$26,"2",G30=EN_PF_DROPDOWN!$C$27,"1",G30=EN_PF_DROPDOWN!$C$28,"0",G30="","")</f>
        <v>2</v>
      </c>
      <c r="I30" s="55"/>
      <c r="J30" s="62" t="str" cm="1">
        <f t="array" ref="J30">_xlfn.IFS(G30=EN_PF_DROPDOWN!$C$25,EN_PF_DROPDOWN!$E$25,G30=EN_PF_DROPDOWN!$C$26,EN_PF_DROPDOWN!$E$26,G30=EN_PF_DROPDOWN!$C$27,EN_PF_DROPDOWN!$E$27,G30=EN_PF_DROPDOWN!$C$28,EN_PF_DROPDOWN!$E$28,G30="","")</f>
        <v>OC meeting minutes showing at least two meetings per year held with each PR, the topics discussed, and recommendations made.
Available oversight tools.
Available risk management information (e.g. risk matrix in HI and Core countries)</v>
      </c>
      <c r="K30" s="78" t="str" cm="1">
        <f t="array" ref="K30">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OR(AND(H30="", L30=""), AND($D$20="",$J$14=""), AND(L30="", H30&lt;&gt;"",$D$14="Yes",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1",$J$14&lt;&gt;1),H30&lt;&gt;"", OR(AND(OR(EN_PF_YearY!$J$14= 1, EN_PF_YearY!$D$20="Year 1"), EN_PF_YearY!L30="",  OR($D$20="Year 2", $J$14 =2)), AND(OR(EN_PF_YearY!$J$14= 2, EN_PF_YearY!$D$20="Year 2"), EN_PF_YearY!L30="",  OR($D$20="Year 3", $J$14 =3)))), AND(OR($D$20&lt;&gt;"",$J$14&lt;&gt;""),AND($D$20&lt;&gt;"Year 1",$J$14&lt;&gt;1),L30="", H30&lt;&gt;"", OR(AND(OR(EN_PF_YearZ!$J$14= 1, EN_PF_YearZ!$D$20="Year 1"), EN_PF_YearZ!L30="",  OR($D$20="Year 2", $J$14 =2)), AND(OR(EN_PF_YearZ!$J$14= 2, EN_PF_YearZ!$D$20="Year 2"), EN_PF_YearZ!L30="",  OR($D$20="Year 3", $J$14 =3)))))), "", AND(L30="", H30&lt;&gt;"",$D$14="Yes",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",EN_PF_QualitativeBaseline!$I$18,"     Preliminary score = ",H30), AND(OR($D$20&lt;&gt;"",$J$14&lt;&gt;""),AND($D$20&lt;&gt;"Year 1",$J$14&lt;&gt;1),L30="", H30&lt;&gt;"", OR(AND(OR(EN_PF_YearY!$J$14= 1, EN_PF_YearY!$D$20="Year 1"), EN_PF_YearY!L30&lt;&gt;"",  OR($D$20="Year 2", $J$14 =2)), AND(OR(EN_PF_YearY!$J$14= 2, EN_PF_YearY!$D$20="Year 2"), EN_PF_YearY!L30&lt;&gt;"",  OR($D$20="Year 3", $J$14 =3)))), _xlfn.CONCAT("Validated old score = ",EN_PF_YearY!L30,"          Preliminary score = ",H30), AND(OR($D$20&lt;&gt;"",$J$14&lt;&gt;""),AND($D$20&lt;&gt;"Year 1",$J$14&lt;&gt;1),L30="", H30&lt;&gt;"", OR(AND(OR(EN_PF_YearZ!$J$14= 1, EN_PF_YearZ!$D$20="Year 1"), EN_PF_YearZ!L30&lt;&gt;"",  OR($D$20="Year 2", $J$14 =2)), AND(OR(EN_PF_YearZ!$J$14= 2, EN_PF_YearZ!$D$20="Year 2"), EN_PF_YearZ!L30&lt;&gt;"",  OR($D$20="Year 3", $J$14 =3)))), _xlfn.CONCAT("Validated old score = ",EN_PF_YearZ!L30,"          Preliminary score = ",H30), AND(OR($D$20&lt;&gt;"",$J$14&lt;&gt;""),AND($D$20&lt;&gt;"Year 1",$J$14&lt;&gt;1),L30&lt;&gt;"", OR(AND(OR(EN_PF_YearY!$J$14= 1, EN_PF_YearY!$D$20="Year 1"), EN_PF_YearY!L30&lt;&gt;"",  OR($D$20="Year 2", $J$14 =2)), AND(OR(EN_PF_YearY!$J$14= 2, EN_PF_YearY!$D$20="Year 2"), EN_PF_YearY!L30&lt;&gt;"",  OR($D$20="Year 3", $J$14 =3)))), _xlfn.CONCAT("Validated old score = ",EN_PF_YearY!L30,"               Validated new score = ",L30), AND(OR($D$20&lt;&gt;"",$J$14&lt;&gt;""),AND($D$20&lt;&gt;"Year 1",$J$14&lt;&gt;1),L30="", H30&lt;&gt;"", OR(AND(OR(EN_PF_YearZ!$J$14= 1, EN_PF_YearZ!$D$20="Year 1"), EN_PF_YearZ!L30&lt;&gt;"",  OR($D$20="Year 2", $J$14 =2)), AND(OR(EN_PF_YearZ!$J$14= 2, EN_PF_YearZ!$D$20="Year 2"), EN_PF_YearZ!L30&lt;&gt;"",  OR($D$20="Year 3", $J$14 =3)))), _xlfn.CONCAT("Validated old score = ",EN_PF_YearZ!L30,"               Validated new score = ",L30),AND(L30&lt;&gt;"",$D$14="Yes",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",EN_PF_QualitativeBaseline!$I$18,"               Validated new score = ",L30), AND(OR($D$14="No", $D$14="", EN_PF_QualitativeBaseline!$I$18=""),OR($D$20="Year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0     Preliminary score = 2</v>
      </c>
      <c r="L30" s="74"/>
      <c r="M30" s="55"/>
      <c r="N30" s="17"/>
      <c r="O30" s="17"/>
      <c r="P30" s="17"/>
      <c r="R30" s="54"/>
    </row>
    <row r="31" spans="1:19" ht="110.1" customHeight="1" x14ac:dyDescent="0.2">
      <c r="A31" s="17"/>
      <c r="B31" s="323"/>
      <c r="C31" s="408"/>
      <c r="D31" s="341" t="s">
        <v>381</v>
      </c>
      <c r="E31" s="410"/>
      <c r="F31" s="410"/>
      <c r="G31" s="80" t="s">
        <v>615</v>
      </c>
      <c r="H31" s="73" t="str" cm="1">
        <f t="array" ref="H31">_xlfn.IFS(G31=EN_PF_DROPDOWN!$C$31,"3",G31=EN_PF_DROPDOWN!$C$32,"2",G31=EN_PF_DROPDOWN!$C$33,"1",G31=EN_PF_DROPDOWN!$C$34,"0",G31="","")</f>
        <v>3</v>
      </c>
      <c r="I31" s="55"/>
      <c r="J31" s="62" t="str" cm="1">
        <f t="array" ref="J31">_xlfn.IFS(G31=EN_PF_DROPDOWN!$C$31,EN_PF_DROPDOWN!$E$31,G31=EN_PF_DROPDOWN!$C$32,EN_PF_DROPDOWN!$E$32,G31=EN_PF_DROPDOWN!$C$33,EN_PF_DROPDOWN!$E$33,G31=EN_PF_DROPDOWN!$C$34,EN_PF_DROPDOWN!$E$34,G31="","")</f>
        <v>Assembly minutes: meetings held during the last 12 months show discussions on OC recommendations, corresponding decisions, an agreed action plan and evidence of constant follow-up on corrective activities</v>
      </c>
      <c r="K31" s="78" t="str" cm="1">
        <f t="array" ref="K31">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OR(AND(H31="", L31=""), AND($D$20="",$J$14=""), AND(L31="", H31&lt;&gt;"",$D$14="Yes",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1",$J$14&lt;&gt;1),H31&lt;&gt;"", OR(AND(OR(EN_PF_YearY!$J$14= 1, EN_PF_YearY!$D$20="Year 1"), EN_PF_YearY!L31="",  OR($D$20="Year 2", $J$14 =2)), AND(OR(EN_PF_YearY!$J$14= 2, EN_PF_YearY!$D$20="Year 2"), EN_PF_YearY!L31="",  OR($D$20="Year 3", $J$14 =3)))), AND(OR($D$20&lt;&gt;"",$J$14&lt;&gt;""),AND($D$20&lt;&gt;"Year 1",$J$14&lt;&gt;1),L31="", H31&lt;&gt;"", OR(AND(OR(EN_PF_YearZ!$J$14= 1, EN_PF_YearZ!$D$20="Year 1"), EN_PF_YearZ!L31="",  OR($D$20="Year 2", $J$14 =2)), AND(OR(EN_PF_YearZ!$J$14= 2, EN_PF_YearZ!$D$20="Year 2"), EN_PF_YearZ!L31="",  OR($D$20="Year 3", $J$14 =3)))))), "", AND(L31="", H31&lt;&gt;"",$D$14="Yes",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",EN_PF_QualitativeBaseline!$I$18,"     Preliminary score = ",H31), AND(OR($D$20&lt;&gt;"",$J$14&lt;&gt;""),AND($D$20&lt;&gt;"Year 1",$J$14&lt;&gt;1),L31="", H31&lt;&gt;"", OR(AND(OR(EN_PF_YearY!$J$14= 1, EN_PF_YearY!$D$20="Year 1"), EN_PF_YearY!L31&lt;&gt;"",  OR($D$20="Year 2", $J$14 =2)), AND(OR(EN_PF_YearY!$J$14= 2, EN_PF_YearY!$D$20="Year 2"), EN_PF_YearY!L31&lt;&gt;"",  OR($D$20="Year 3", $J$14 =3)))), _xlfn.CONCAT("Validated old score = ",EN_PF_YearY!L31,"          Preliminary score = ",H31), AND(OR($D$20&lt;&gt;"",$J$14&lt;&gt;""),AND($D$20&lt;&gt;"Year 1",$J$14&lt;&gt;1),L31="", H31&lt;&gt;"", OR(AND(OR(EN_PF_YearZ!$J$14= 1, EN_PF_YearZ!$D$20="Year 1"), EN_PF_YearZ!L31&lt;&gt;"",  OR($D$20="Year 2", $J$14 =2)), AND(OR(EN_PF_YearZ!$J$14= 2, EN_PF_YearZ!$D$20="Year 2"), EN_PF_YearZ!L31&lt;&gt;"",  OR($D$20="Year 3", $J$14 =3)))), _xlfn.CONCAT("Validated old score = ",EN_PF_YearZ!L31,"          Preliminary score = ",H31), AND(OR($D$20&lt;&gt;"",$J$14&lt;&gt;""),AND($D$20&lt;&gt;"Year 1",$J$14&lt;&gt;1),L31&lt;&gt;"", OR(AND(OR(EN_PF_YearY!$J$14= 1, EN_PF_YearY!$D$20="Year 1"), EN_PF_YearY!L31&lt;&gt;"",  OR($D$20="Year 2", $J$14 =2)), AND(OR(EN_PF_YearY!$J$14= 2, EN_PF_YearY!$D$20="Year 2"), EN_PF_YearY!L31&lt;&gt;"",  OR($D$20="Year 3", $J$14 =3)))), _xlfn.CONCAT("Validated old score = ",EN_PF_YearY!L31,"               Validated new score = ",L31), AND(OR($D$20&lt;&gt;"",$J$14&lt;&gt;""),AND($D$20&lt;&gt;"Year 1",$J$14&lt;&gt;1),L31="", H31&lt;&gt;"", OR(AND(OR(EN_PF_YearZ!$J$14= 1, EN_PF_YearZ!$D$20="Year 1"), EN_PF_YearZ!L31&lt;&gt;"",  OR($D$20="Year 2", $J$14 =2)), AND(OR(EN_PF_YearZ!$J$14= 2, EN_PF_YearZ!$D$20="Year 2"), EN_PF_YearZ!L31&lt;&gt;"",  OR($D$20="Year 3", $J$14 =3)))), _xlfn.CONCAT("Validated old score = ",EN_PF_YearZ!L31,"               Validated new score = ",L31),AND(L31&lt;&gt;"",$D$14="Yes",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",EN_PF_QualitativeBaseline!$I$18,"               Validated new score = ",L31), AND(OR($D$14="No", $D$14="", EN_PF_QualitativeBaseline!$I$18=""),OR($D$20="Year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0     Preliminary score = 3</v>
      </c>
      <c r="L31" s="74"/>
      <c r="M31" s="55"/>
      <c r="N31" s="17"/>
      <c r="O31" s="17"/>
      <c r="P31" s="17"/>
      <c r="R31" s="54"/>
    </row>
    <row r="32" spans="1:19" ht="110.1" customHeight="1" x14ac:dyDescent="0.2">
      <c r="A32" s="17"/>
      <c r="B32" s="323"/>
      <c r="C32" s="409"/>
      <c r="D32" s="341" t="s">
        <v>189</v>
      </c>
      <c r="E32" s="341"/>
      <c r="F32" s="341"/>
      <c r="G32" s="80" t="s">
        <v>529</v>
      </c>
      <c r="H32" s="73" t="str" cm="1">
        <f t="array" ref="H32">_xlfn.IFS(G32=EN_PF_DROPDOWN!$C$37,"2",G32=EN_PF_DROPDOWN!$C$38,"0",G32="","")</f>
        <v>2</v>
      </c>
      <c r="I32" s="55"/>
      <c r="J32" s="62" t="str" cm="1">
        <f t="array" ref="J32">_xlfn.IFS(G32=EN_PF_DROPDOWN!$C$37,EN_PF_DROPDOWN!$E$37,G32=EN_PF_DROPDOWN!$C$38,EN_PF_DROPDOWN!$E$38,G32="","")</f>
        <v>Communication plan
Letters or emails sent by the Coordinating Mechanism
Minutes of annual workshop with in-country stakeholders on lessons learnt
CM website publications/oversight bulletins</v>
      </c>
      <c r="K32" s="78" t="str" cm="1">
        <f t="array" ref="K32">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OR(AND(H32="", L32=""), AND($D$20="",$J$14=""), AND(L32="", H32&lt;&gt;"",$D$14="Yes",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1",$J$14&lt;&gt;1),H32&lt;&gt;"", OR(AND(OR(EN_PF_YearY!$J$14= 1, EN_PF_YearY!$D$20="Year 1"), EN_PF_YearY!L32="",  OR($D$20="Year 2", $J$14 =2)), AND(OR(EN_PF_YearY!$J$14= 2, EN_PF_YearY!$D$20="Year 2"), EN_PF_YearY!L32="",  OR($D$20="Year 3", $J$14 =3)))), AND(OR($D$20&lt;&gt;"",$J$14&lt;&gt;""),AND($D$20&lt;&gt;"Year 1",$J$14&lt;&gt;1),L32="", H32&lt;&gt;"", OR(AND(OR(EN_PF_YearZ!$J$14= 1, EN_PF_YearZ!$D$20="Year 1"), EN_PF_YearZ!L32="",  OR($D$20="Year 2", $J$14 =2)), AND(OR(EN_PF_YearZ!$J$14= 2, EN_PF_YearZ!$D$20="Year 2"), EN_PF_YearZ!L32="",  OR($D$20="Year 3", $J$14 =3)))))), "", AND(L32="", H32&lt;&gt;"",$D$14="Yes",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",EN_PF_QualitativeBaseline!$I$18,"     Preliminary score = ",H32), AND(OR($D$20&lt;&gt;"",$J$14&lt;&gt;""),AND($D$20&lt;&gt;"Year 1",$J$14&lt;&gt;1),L32="", H32&lt;&gt;"", OR(AND(OR(EN_PF_YearY!$J$14= 1, EN_PF_YearY!$D$20="Year 1"), EN_PF_YearY!L32&lt;&gt;"",  OR($D$20="Year 2", $J$14 =2)), AND(OR(EN_PF_YearY!$J$14= 2, EN_PF_YearY!$D$20="Year 2"), EN_PF_YearY!L32&lt;&gt;"",  OR($D$20="Year 3", $J$14 =3)))), _xlfn.CONCAT("Validated old score = ",EN_PF_YearY!L32,"          Preliminary score = ",H32), AND(OR($D$20&lt;&gt;"",$J$14&lt;&gt;""),AND($D$20&lt;&gt;"Year 1",$J$14&lt;&gt;1),L32="", H32&lt;&gt;"", OR(AND(OR(EN_PF_YearZ!$J$14= 1, EN_PF_YearZ!$D$20="Year 1"), EN_PF_YearZ!L32&lt;&gt;"",  OR($D$20="Year 2", $J$14 =2)), AND(OR(EN_PF_YearZ!$J$14= 2, EN_PF_YearZ!$D$20="Year 2"), EN_PF_YearZ!L32&lt;&gt;"",  OR($D$20="Year 3", $J$14 =3)))), _xlfn.CONCAT("Validated old score = ",EN_PF_YearZ!L32,"          Preliminary score = ",H32), AND(OR($D$20&lt;&gt;"",$J$14&lt;&gt;""),AND($D$20&lt;&gt;"Year 1",$J$14&lt;&gt;1),L32&lt;&gt;"", OR(AND(OR(EN_PF_YearY!$J$14= 1, EN_PF_YearY!$D$20="Year 1"), EN_PF_YearY!L32&lt;&gt;"",  OR($D$20="Year 2", $J$14 =2)), AND(OR(EN_PF_YearY!$J$14= 2, EN_PF_YearY!$D$20="Year 2"), EN_PF_YearY!L32&lt;&gt;"",  OR($D$20="Year 3", $J$14 =3)))), _xlfn.CONCAT("Validated old score = ",EN_PF_YearY!L32,"               Validated new score = ",L32), AND(OR($D$20&lt;&gt;"",$J$14&lt;&gt;""),AND($D$20&lt;&gt;"Year 1",$J$14&lt;&gt;1),L32="", H32&lt;&gt;"", OR(AND(OR(EN_PF_YearZ!$J$14= 1, EN_PF_YearZ!$D$20="Year 1"), EN_PF_YearZ!L32&lt;&gt;"",  OR($D$20="Year 2", $J$14 =2)), AND(OR(EN_PF_YearZ!$J$14= 2, EN_PF_YearZ!$D$20="Year 2"), EN_PF_YearZ!L32&lt;&gt;"",  OR($D$20="Year 3", $J$14 =3)))), _xlfn.CONCAT("Validated old score = ",EN_PF_YearZ!L32,"               Validated new score = ",L32),AND(L32&lt;&gt;"",$D$14="Yes",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",EN_PF_QualitativeBaseline!$I$18,"               Validated new score = ",L32), AND(OR($D$14="No", $D$14="", EN_PF_QualitativeBaseline!$I$18=""),OR($D$20="Year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0     Preliminary score = 2</v>
      </c>
      <c r="L32" s="74"/>
      <c r="M32" s="55"/>
      <c r="N32" s="17"/>
      <c r="O32" s="17"/>
      <c r="P32" s="17"/>
      <c r="R32" s="54"/>
    </row>
    <row r="33" spans="1:18" ht="110.1" customHeight="1" x14ac:dyDescent="0.2">
      <c r="A33" s="17"/>
      <c r="B33" s="324"/>
      <c r="C33" s="47" t="s">
        <v>181</v>
      </c>
      <c r="D33" s="410" t="s">
        <v>154</v>
      </c>
      <c r="E33" s="410"/>
      <c r="F33" s="410"/>
      <c r="G33" s="80" t="s">
        <v>533</v>
      </c>
      <c r="H33" s="73" t="str" cm="1">
        <f t="array" ref="H33">_xlfn.IFS(G33=EN_PF_DROPDOWN!$C$41,"3",G33=EN_PF_DROPDOWN!$C$42,"2",G33=EN_PF_DROPDOWN!$C$43,"1",G33=EN_PF_DROPDOWN!$C$44,"0",G33="","")</f>
        <v>2</v>
      </c>
      <c r="I33" s="55" t="s">
        <v>748</v>
      </c>
      <c r="J33" s="62" t="str" cm="1">
        <f t="array" ref="J33">_xlfn.IFS(G33=EN_PF_DROPDOWN!$C$41,EN_PF_DROPDOWN!$E$41,G33=EN_PF_DROPDOWN!$C$42,EN_PF_DROPDOWN!$E$42,G33=EN_PF_DROPDOWN!$C$43,EN_PF_DROPDOWN!$E$43,G33=EN_PF_DROPDOWN!$C$44,EN_PF_DROPDOWN!$E$44,G33="","")</f>
        <v>Assembly minutes showing at least one status update per year from MoF and other relevant ministries. 
Meeting minutes with MoF/relevant ministries representatives
Co-financing commitment tracking tool/template</v>
      </c>
      <c r="K33" s="78" t="str" cm="1">
        <f t="array" ref="K33">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OR(AND(H33="", L33=""), AND($D$20="",$J$14=""), AND(L33="", H33&lt;&gt;"",$D$14="Yes",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1",$J$14&lt;&gt;1),H33&lt;&gt;"", OR(AND(OR(EN_PF_YearY!$J$14= 1, EN_PF_YearY!$D$20="Year 1"), EN_PF_YearY!L33="",  OR($D$20="Year 2", $J$14 =2)), AND(OR(EN_PF_YearY!$J$14= 2, EN_PF_YearY!$D$20="Year 2"), EN_PF_YearY!L33="",  OR($D$20="Year 3", $J$14 =3)))), AND(OR($D$20&lt;&gt;"",$J$14&lt;&gt;""),AND($D$20&lt;&gt;"Year 1",$J$14&lt;&gt;1),L33="", H33&lt;&gt;"", OR(AND(OR(EN_PF_YearZ!$J$14= 1, EN_PF_YearZ!$D$20="Year 1"), EN_PF_YearZ!L33="",  OR($D$20="Year 2", $J$14 =2)), AND(OR(EN_PF_YearZ!$J$14= 2, EN_PF_YearZ!$D$20="Year 2"), EN_PF_YearZ!L33="",  OR($D$20="Year 3", $J$14 =3)))))), "", AND(L33="", H33&lt;&gt;"",$D$14="Yes",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",EN_PF_QualitativeBaseline!$I$19,"     Preliminary score = ",H33), AND(OR($D$20&lt;&gt;"",$J$14&lt;&gt;""),AND($D$20&lt;&gt;"Year 1",$J$14&lt;&gt;1),L33="", H33&lt;&gt;"", OR(AND(OR(EN_PF_YearY!$J$14= 1, EN_PF_YearY!$D$20="Year 1"), EN_PF_YearY!L33&lt;&gt;"",  OR($D$20="Year 2", $J$14 =2)), AND(OR(EN_PF_YearY!$J$14= 2, EN_PF_YearY!$D$20="Year 2"), EN_PF_YearY!L33&lt;&gt;"",  OR($D$20="Year 3", $J$14 =3)))), _xlfn.CONCAT("Validated old score = ",EN_PF_YearY!L33,"          Preliminary score = ",H33), AND(OR($D$20&lt;&gt;"",$J$14&lt;&gt;""),AND($D$20&lt;&gt;"Year 1",$J$14&lt;&gt;1),L33="", H33&lt;&gt;"", OR(AND(OR(EN_PF_YearZ!$J$14= 1, EN_PF_YearZ!$D$20="Year 1"), EN_PF_YearZ!L33&lt;&gt;"",  OR($D$20="Year 2", $J$14 =2)), AND(OR(EN_PF_YearZ!$J$14= 2, EN_PF_YearZ!$D$20="Year 2"), EN_PF_YearZ!L33&lt;&gt;"",  OR($D$20="Year 3", $J$14 =3)))), _xlfn.CONCAT("Validated old score = ",EN_PF_YearZ!L33,"          Preliminary score = ",H33), AND(OR($D$20&lt;&gt;"",$J$14&lt;&gt;""),AND($D$20&lt;&gt;"Year 1",$J$14&lt;&gt;1),L33&lt;&gt;"", OR(AND(OR(EN_PF_YearY!$J$14= 1, EN_PF_YearY!$D$20="Year 1"), EN_PF_YearY!L33&lt;&gt;"",  OR($D$20="Year 2", $J$14 =2)), AND(OR(EN_PF_YearY!$J$14= 2, EN_PF_YearY!$D$20="Year 2"), EN_PF_YearY!L33&lt;&gt;"",  OR($D$20="Year 3", $J$14 =3)))), _xlfn.CONCAT("Validated old score = ",EN_PF_YearY!L33,"               Validated new score = ",L33), AND(OR($D$20&lt;&gt;"",$J$14&lt;&gt;""),AND($D$20&lt;&gt;"Year 1",$J$14&lt;&gt;1),L33="", H33&lt;&gt;"", OR(AND(OR(EN_PF_YearZ!$J$14= 1, EN_PF_YearZ!$D$20="Year 1"), EN_PF_YearZ!L33&lt;&gt;"",  OR($D$20="Year 2", $J$14 =2)), AND(OR(EN_PF_YearZ!$J$14= 2, EN_PF_YearZ!$D$20="Year 2"), EN_PF_YearZ!L33&lt;&gt;"",  OR($D$20="Year 3", $J$14 =3)))), _xlfn.CONCAT("Validated old score = ",EN_PF_YearZ!L33,"               Validated new score = ",L33),AND(L33&lt;&gt;"",$D$14="Yes",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",EN_PF_QualitativeBaseline!$I$19,"               Validated new score = ",L33), AND(OR($D$14="No", $D$14="", EN_PF_QualitativeBaseline!$I$19=""),OR($D$20="Year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33" s="74"/>
      <c r="M33" s="55"/>
      <c r="N33" s="17"/>
      <c r="O33" s="17"/>
      <c r="P33" s="17"/>
      <c r="R33" s="54"/>
    </row>
    <row r="34" spans="1:18" ht="110.1" customHeight="1" x14ac:dyDescent="0.2">
      <c r="A34" s="17"/>
      <c r="B34" s="314" t="s">
        <v>113</v>
      </c>
      <c r="C34" s="407" t="s">
        <v>177</v>
      </c>
      <c r="D34" s="410" t="s">
        <v>166</v>
      </c>
      <c r="E34" s="410"/>
      <c r="F34" s="410"/>
      <c r="G34" s="80" t="s">
        <v>617</v>
      </c>
      <c r="H34" s="73" t="str" cm="1">
        <f t="array" ref="H34">_xlfn.IFS(G34=EN_PF_DROPDOWN!G3,"3",G34=EN_PF_DROPDOWN!G4,"2",G34=EN_PF_DROPDOWN!G5,"1",G34=EN_PF_DROPDOWN!G6,"0",G34="","")</f>
        <v>3</v>
      </c>
      <c r="I34" s="55"/>
      <c r="J34" s="62" t="str" cm="1">
        <f t="array" ref="J34">_xlfn.IFS(G34=EN_PF_DROPDOWN!G3,EN_PF_DROPDOWN!I3,G34=EN_PF_DROPDOWN!G4,EN_PF_DROPDOWN!I4,G34=EN_PF_DROPDOWN!G5,EN_PF_DROPDOWN!I5,G34=EN_PF_DROPDOWN!G6,EN_PF_DROPDOWN!I6,G34="","",G34="","")</f>
        <v>Membership list (Partner Portal - GED updated in the last 6 months)
Epidemiological Reports
List of NGOs representing key affected groups
Civil Society elections meeting minutes
Constituency engagement meeting minutes</v>
      </c>
      <c r="K34" s="78" t="str" cm="1">
        <f t="array" ref="K34">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OR(AND(H34="", L34=""), AND($D$20="",$J$14=""), AND(L34="", H34&lt;&gt;"",$D$14="Yes",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1",$J$14&lt;&gt;1),H34&lt;&gt;"", OR(AND(OR(EN_PF_YearY!$J$14= 1, EN_PF_YearY!$D$20="Year 1"), EN_PF_YearY!L34="",  OR($D$20="Year 2", $J$14 =2)), AND(OR(EN_PF_YearY!$J$14= 2, EN_PF_YearY!$D$20="Year 2"), EN_PF_YearY!L34="",  OR($D$20="Year 3", $J$14 =3)))), AND(OR($D$20&lt;&gt;"",$J$14&lt;&gt;""),AND($D$20&lt;&gt;"Year 1",$J$14&lt;&gt;1),L34="", H34&lt;&gt;"", OR(AND(OR(EN_PF_YearZ!$J$14= 1, EN_PF_YearZ!$D$20="Year 1"), EN_PF_YearZ!L34="",  OR($D$20="Year 2", $J$14 =2)), AND(OR(EN_PF_YearZ!$J$14= 2, EN_PF_YearZ!$D$20="Year 2"), EN_PF_YearZ!L34="",  OR($D$20="Year 3", $J$14 =3)))))), "", AND(L34="", H34&lt;&gt;"",$D$14="Yes",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Preliminary score = ",H34), AND(OR($D$20&lt;&gt;"",$J$14&lt;&gt;""),AND($D$20&lt;&gt;"Year 1",$J$14&lt;&gt;1),L34="", H34&lt;&gt;"", OR(AND(OR(EN_PF_YearY!$J$14= 1, EN_PF_YearY!$D$20="Year 1"), EN_PF_YearY!L34&lt;&gt;"",  OR($D$20="Year 2", $J$14 =2)), AND(OR(EN_PF_YearY!$J$14= 2, EN_PF_YearY!$D$20="Year 2"), EN_PF_YearY!L34&lt;&gt;"",  OR($D$20="Year 3", $J$14 =3)))), _xlfn.CONCAT("Validated old score = ",EN_PF_YearY!L34,"          Preliminary score = ",H34), AND(OR($D$20&lt;&gt;"",$J$14&lt;&gt;""),AND($D$20&lt;&gt;"Year 1",$J$14&lt;&gt;1),L34="", H34&lt;&gt;"", OR(AND(OR(EN_PF_YearZ!$J$14= 1, EN_PF_YearZ!$D$20="Year 1"), EN_PF_YearZ!L34&lt;&gt;"",  OR($D$20="Year 2", $J$14 =2)), AND(OR(EN_PF_YearZ!$J$14= 2, EN_PF_YearZ!$D$20="Year 2"), EN_PF_YearZ!L34&lt;&gt;"",  OR($D$20="Year 3", $J$14 =3)))), _xlfn.CONCAT("Validated old score = ",EN_PF_YearZ!L34,"          Preliminary score = ",H34), AND(OR($D$20&lt;&gt;"",$J$14&lt;&gt;""),AND($D$20&lt;&gt;"Year 1",$J$14&lt;&gt;1),L34&lt;&gt;"", OR(AND(OR(EN_PF_YearY!$J$14= 1, EN_PF_YearY!$D$20="Year 1"), EN_PF_YearY!L34&lt;&gt;"",  OR($D$20="Year 2", $J$14 =2)), AND(OR(EN_PF_YearY!$J$14= 2, EN_PF_YearY!$D$20="Year 2"), EN_PF_YearY!L34&lt;&gt;"",  OR($D$20="Year 3", $J$14 =3)))), _xlfn.CONCAT("Validated old score = ",EN_PF_YearY!L34,"               Validated new score = ",L34), AND(OR($D$20&lt;&gt;"",$J$14&lt;&gt;""),AND($D$20&lt;&gt;"Year 1",$J$14&lt;&gt;1),L34="", H34&lt;&gt;"", OR(AND(OR(EN_PF_YearZ!$J$14= 1, EN_PF_YearZ!$D$20="Year 1"), EN_PF_YearZ!L34&lt;&gt;"",  OR($D$20="Year 2", $J$14 =2)), AND(OR(EN_PF_YearZ!$J$14= 2, EN_PF_YearZ!$D$20="Year 2"), EN_PF_YearZ!L34&lt;&gt;"",  OR($D$20="Year 3", $J$14 =3)))), _xlfn.CONCAT("Validated old score = ",EN_PF_YearZ!L34,"               Validated new score = ",L34),AND(L34&lt;&gt;"",$D$14="Yes",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Validated new score = ",L34), AND(OR($D$14="No", $D$14="", EN_PF_QualitativeBaseline!$I$20=""),OR($D$20="Year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3</v>
      </c>
      <c r="L34" s="74"/>
      <c r="M34" s="55"/>
      <c r="N34" s="17"/>
      <c r="O34" s="17"/>
      <c r="P34" s="17"/>
      <c r="R34" s="54"/>
    </row>
    <row r="35" spans="1:18" ht="110.1" customHeight="1" x14ac:dyDescent="0.2">
      <c r="A35" s="17"/>
      <c r="B35" s="413"/>
      <c r="C35" s="408"/>
      <c r="D35" s="341" t="s">
        <v>440</v>
      </c>
      <c r="E35" s="341"/>
      <c r="F35" s="341"/>
      <c r="G35" s="80" t="s">
        <v>536</v>
      </c>
      <c r="H35" s="73" t="str" cm="1">
        <f t="array" ref="H35">_xlfn.IFS(G35=EN_PF_DROPDOWN!G9,"3",G35=EN_PF_DROPDOWN!G10,"2",G35=EN_PF_DROPDOWN!G11,"0",G35="","")</f>
        <v>3</v>
      </c>
      <c r="I35" s="55"/>
      <c r="J35" s="62" t="str" cm="1">
        <f t="array" ref="J35">_xlfn.IFS(G35=EN_PF_DROPDOWN!G9,EN_PF_DROPDOWN!I9,G35=EN_PF_DROPDOWN!G10,EN_PF_DROPDOWN!I10,G35=EN_PF_DROPDOWN!G11,EN_PF_DROPDOWN!I11,G35="","")</f>
        <v>Membership list (Partner Portal - GED updated in the last 6 months)
Epidemiological Reports
Government appointment letters
General Assembly meeting minutes</v>
      </c>
      <c r="K35" s="78" t="str" cm="1">
        <f t="array" ref="K35">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OR(AND(H35="", L35=""), AND($D$20="",$J$14=""), AND(L35="", H35&lt;&gt;"",$D$14="Yes",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1",$J$14&lt;&gt;1),H35&lt;&gt;"", OR(AND(OR(EN_PF_YearY!$J$14= 1, EN_PF_YearY!$D$20="Year 1"), EN_PF_YearY!L35="",  OR($D$20="Year 2", $J$14 =2)), AND(OR(EN_PF_YearY!$J$14= 2, EN_PF_YearY!$D$20="Year 2"), EN_PF_YearY!L35="",  OR($D$20="Year 3", $J$14 =3)))), AND(OR($D$20&lt;&gt;"",$J$14&lt;&gt;""),AND($D$20&lt;&gt;"Year 1",$J$14&lt;&gt;1),L35="", H35&lt;&gt;"", OR(AND(OR(EN_PF_YearZ!$J$14= 1, EN_PF_YearZ!$D$20="Year 1"), EN_PF_YearZ!L35="",  OR($D$20="Year 2", $J$14 =2)), AND(OR(EN_PF_YearZ!$J$14= 2, EN_PF_YearZ!$D$20="Year 2"), EN_PF_YearZ!L35="",  OR($D$20="Year 3", $J$14 =3)))))), "", AND(L35="", H35&lt;&gt;"",$D$14="Yes",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Preliminary score = ",H35), AND(OR($D$20&lt;&gt;"",$J$14&lt;&gt;""),AND($D$20&lt;&gt;"Year 1",$J$14&lt;&gt;1),L35="", H35&lt;&gt;"", OR(AND(OR(EN_PF_YearY!$J$14= 1, EN_PF_YearY!$D$20="Year 1"), EN_PF_YearY!L35&lt;&gt;"",  OR($D$20="Year 2", $J$14 =2)), AND(OR(EN_PF_YearY!$J$14= 2, EN_PF_YearY!$D$20="Year 2"), EN_PF_YearY!L35&lt;&gt;"",  OR($D$20="Year 3", $J$14 =3)))), _xlfn.CONCAT("Validated old score = ",EN_PF_YearY!L35,"          Preliminary score = ",H35), AND(OR($D$20&lt;&gt;"",$J$14&lt;&gt;""),AND($D$20&lt;&gt;"Year 1",$J$14&lt;&gt;1),L35="", H35&lt;&gt;"", OR(AND(OR(EN_PF_YearZ!$J$14= 1, EN_PF_YearZ!$D$20="Year 1"), EN_PF_YearZ!L35&lt;&gt;"",  OR($D$20="Year 2", $J$14 =2)), AND(OR(EN_PF_YearZ!$J$14= 2, EN_PF_YearZ!$D$20="Year 2"), EN_PF_YearZ!L35&lt;&gt;"",  OR($D$20="Year 3", $J$14 =3)))), _xlfn.CONCAT("Validated old score = ",EN_PF_YearZ!L35,"          Preliminary score = ",H35), AND(OR($D$20&lt;&gt;"",$J$14&lt;&gt;""),AND($D$20&lt;&gt;"Year 1",$J$14&lt;&gt;1),L35&lt;&gt;"", OR(AND(OR(EN_PF_YearY!$J$14= 1, EN_PF_YearY!$D$20="Year 1"), EN_PF_YearY!L35&lt;&gt;"",  OR($D$20="Year 2", $J$14 =2)), AND(OR(EN_PF_YearY!$J$14= 2, EN_PF_YearY!$D$20="Year 2"), EN_PF_YearY!L35&lt;&gt;"",  OR($D$20="Year 3", $J$14 =3)))), _xlfn.CONCAT("Validated old score = ",EN_PF_YearY!L35,"               Validated new score = ",L35), AND(OR($D$20&lt;&gt;"",$J$14&lt;&gt;""),AND($D$20&lt;&gt;"Year 1",$J$14&lt;&gt;1),L35="", H35&lt;&gt;"", OR(AND(OR(EN_PF_YearZ!$J$14= 1, EN_PF_YearZ!$D$20="Year 1"), EN_PF_YearZ!L35&lt;&gt;"",  OR($D$20="Year 2", $J$14 =2)), AND(OR(EN_PF_YearZ!$J$14= 2, EN_PF_YearZ!$D$20="Year 2"), EN_PF_YearZ!L35&lt;&gt;"",  OR($D$20="Year 3", $J$14 =3)))), _xlfn.CONCAT("Validated old score = ",EN_PF_YearZ!L35,"               Validated new score = ",L35),AND(L35&lt;&gt;"",$D$14="Yes",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Validated new score = ",L35), AND(OR($D$14="No", $D$14="", EN_PF_QualitativeBaseline!$I$20=""),OR($D$20="Year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3</v>
      </c>
      <c r="L35" s="74"/>
      <c r="M35" s="55"/>
      <c r="N35" s="17"/>
      <c r="O35" s="17"/>
      <c r="P35" s="17"/>
      <c r="R35" s="54"/>
    </row>
    <row r="36" spans="1:18" ht="110.1" customHeight="1" x14ac:dyDescent="0.2">
      <c r="A36" s="17"/>
      <c r="B36" s="413"/>
      <c r="C36" s="408"/>
      <c r="D36" s="341" t="s">
        <v>382</v>
      </c>
      <c r="E36" s="341"/>
      <c r="F36" s="341"/>
      <c r="G36" s="80" t="s">
        <v>662</v>
      </c>
      <c r="H36" s="73" t="str" cm="1">
        <f t="array" ref="H36">_xlfn.IFS(G36=EN_PF_DROPDOWN!G14,"3",G36=EN_PF_DROPDOWN!G15,"2",G36=EN_PF_DROPDOWN!G16,"1",G36=EN_PF_DROPDOWN!G17,"0",G36="","")</f>
        <v>2</v>
      </c>
      <c r="I36" s="55"/>
      <c r="J36" s="62" t="str" cm="1">
        <f t="array" ref="J36">_xlfn.IFS(G36=EN_PF_DROPDOWN!G14,EN_PF_DROPDOWN!I14,G36=EN_PF_DROPDOWN!G15,EN_PF_DROPDOWN!I15,G36=EN_PF_DROPDOWN!G16,EN_PF_DROPDOWN!I16,G36=EN_PF_DROPDOWN!G17,EN_PF_DROPDOWN!I17,G36="","")</f>
        <v>Membership list (Partner Portal - GED updated in the last 6 months)
Election meeting minutes
Technical Committee Membership list (Partner Portal - GED updated in the last 6 months)</v>
      </c>
      <c r="K36" s="78" t="str" cm="1">
        <f t="array" ref="K36">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OR(AND(H36="", L36=""), AND($D$20="",$J$14=""), AND(L36="", H36&lt;&gt;"",$D$14="Yes",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1",$J$14&lt;&gt;1),H36&lt;&gt;"", OR(AND(OR(EN_PF_YearY!$J$14= 1, EN_PF_YearY!$D$20="Year 1"), EN_PF_YearY!L36="",  OR($D$20="Year 2", $J$14 =2)), AND(OR(EN_PF_YearY!$J$14= 2, EN_PF_YearY!$D$20="Year 2"), EN_PF_YearY!L36="",  OR($D$20="Year 3", $J$14 =3)))), AND(OR($D$20&lt;&gt;"",$J$14&lt;&gt;""),AND($D$20&lt;&gt;"Year 1",$J$14&lt;&gt;1),L36="", H36&lt;&gt;"", OR(AND(OR(EN_PF_YearZ!$J$14= 1, EN_PF_YearZ!$D$20="Year 1"), EN_PF_YearZ!L36="",  OR($D$20="Year 2", $J$14 =2)), AND(OR(EN_PF_YearZ!$J$14= 2, EN_PF_YearZ!$D$20="Year 2"), EN_PF_YearZ!L36="",  OR($D$20="Year 3", $J$14 =3)))))), "", AND(L36="", H36&lt;&gt;"",$D$14="Yes",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Preliminary score = ",H36), AND(OR($D$20&lt;&gt;"",$J$14&lt;&gt;""),AND($D$20&lt;&gt;"Year 1",$J$14&lt;&gt;1),L36="", H36&lt;&gt;"", OR(AND(OR(EN_PF_YearY!$J$14= 1, EN_PF_YearY!$D$20="Year 1"), EN_PF_YearY!L36&lt;&gt;"",  OR($D$20="Year 2", $J$14 =2)), AND(OR(EN_PF_YearY!$J$14= 2, EN_PF_YearY!$D$20="Year 2"), EN_PF_YearY!L36&lt;&gt;"",  OR($D$20="Year 3", $J$14 =3)))), _xlfn.CONCAT("Validated old score = ",EN_PF_YearY!L36,"          Preliminary score = ",H36), AND(OR($D$20&lt;&gt;"",$J$14&lt;&gt;""),AND($D$20&lt;&gt;"Year 1",$J$14&lt;&gt;1),L36="", H36&lt;&gt;"", OR(AND(OR(EN_PF_YearZ!$J$14= 1, EN_PF_YearZ!$D$20="Year 1"), EN_PF_YearZ!L36&lt;&gt;"",  OR($D$20="Year 2", $J$14 =2)), AND(OR(EN_PF_YearZ!$J$14= 2, EN_PF_YearZ!$D$20="Year 2"), EN_PF_YearZ!L36&lt;&gt;"",  OR($D$20="Year 3", $J$14 =3)))), _xlfn.CONCAT("Validated old score = ",EN_PF_YearZ!L36,"          Preliminary score = ",H36), AND(OR($D$20&lt;&gt;"",$J$14&lt;&gt;""),AND($D$20&lt;&gt;"Year 1",$J$14&lt;&gt;1),L36&lt;&gt;"", OR(AND(OR(EN_PF_YearY!$J$14= 1, EN_PF_YearY!$D$20="Year 1"), EN_PF_YearY!L36&lt;&gt;"",  OR($D$20="Year 2", $J$14 =2)), AND(OR(EN_PF_YearY!$J$14= 2, EN_PF_YearY!$D$20="Year 2"), EN_PF_YearY!L36&lt;&gt;"",  OR($D$20="Year 3", $J$14 =3)))), _xlfn.CONCAT("Validated old score = ",EN_PF_YearY!L36,"               Validated new score = ",L36), AND(OR($D$20&lt;&gt;"",$J$14&lt;&gt;""),AND($D$20&lt;&gt;"Year 1",$J$14&lt;&gt;1),L36="", H36&lt;&gt;"", OR(AND(OR(EN_PF_YearZ!$J$14= 1, EN_PF_YearZ!$D$20="Year 1"), EN_PF_YearZ!L36&lt;&gt;"",  OR($D$20="Year 2", $J$14 =2)), AND(OR(EN_PF_YearZ!$J$14= 2, EN_PF_YearZ!$D$20="Year 2"), EN_PF_YearZ!L36&lt;&gt;"",  OR($D$20="Year 3", $J$14 =3)))), _xlfn.CONCAT("Validated old score = ",EN_PF_YearZ!L36,"               Validated new score = ",L36),AND(L36&lt;&gt;"",$D$14="Yes",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Validated new score = ",L36), AND(OR($D$14="No", $D$14="", EN_PF_QualitativeBaseline!$I$20=""),OR($D$20="Year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36" s="74"/>
      <c r="M36" s="55"/>
      <c r="N36" s="17"/>
      <c r="O36" s="17"/>
      <c r="P36" s="17"/>
      <c r="R36" s="54"/>
    </row>
    <row r="37" spans="1:18" ht="110.1" customHeight="1" x14ac:dyDescent="0.2">
      <c r="A37" s="17"/>
      <c r="B37" s="413"/>
      <c r="C37" s="408"/>
      <c r="D37" s="341" t="s">
        <v>167</v>
      </c>
      <c r="E37" s="341"/>
      <c r="F37" s="341"/>
      <c r="G37" s="80" t="s">
        <v>517</v>
      </c>
      <c r="H37" s="73" t="str" cm="1">
        <f t="array" ref="H37">_xlfn.IFS(G37=EN_PF_DROPDOWN!G20,"3",G37=EN_PF_DROPDOWN!G21,"2",G37=EN_PF_DROPDOWN!G22,"1",G37=EN_PF_DROPDOWN!G23,"0",G37="","")</f>
        <v>2</v>
      </c>
      <c r="I37" s="55"/>
      <c r="J37" s="62" t="str" cm="1">
        <f t="array" ref="J37">_xlfn.IFS(G37=EN_PF_DROPDOWN!G20,EN_PF_DROPDOWN!I20,G37=EN_PF_DROPDOWN!G21,EN_PF_DROPDOWN!I21,G37=EN_PF_DROPDOWN!G22,EN_PF_DROPDOWN!I22,G37=EN_PF_DROPDOWN!G23,EN_PF_DROPDOWN!I23,G37="","")</f>
        <v>Election meeting minutes
Candidates' terms of reference
Evaluation Committee terms of reference
Proof of publication of election calls</v>
      </c>
      <c r="K37" s="78" t="str" cm="1">
        <f t="array" ref="K37">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OR(AND(H37="", L37=""), AND($D$20="",$J$14=""), AND(L37="", H37&lt;&gt;"",$D$14="Yes",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1",$J$14&lt;&gt;1),H37&lt;&gt;"", OR(AND(OR(EN_PF_YearY!$J$14= 1, EN_PF_YearY!$D$20="Year 1"), EN_PF_YearY!L37="",  OR($D$20="Year 2", $J$14 =2)), AND(OR(EN_PF_YearY!$J$14= 2, EN_PF_YearY!$D$20="Year 2"), EN_PF_YearY!L37="",  OR($D$20="Year 3", $J$14 =3)))), AND(OR($D$20&lt;&gt;"",$J$14&lt;&gt;""),AND($D$20&lt;&gt;"Year 1",$J$14&lt;&gt;1),L37="", H37&lt;&gt;"", OR(AND(OR(EN_PF_YearZ!$J$14= 1, EN_PF_YearZ!$D$20="Year 1"), EN_PF_YearZ!L37="",  OR($D$20="Year 2", $J$14 =2)), AND(OR(EN_PF_YearZ!$J$14= 2, EN_PF_YearZ!$D$20="Year 2"), EN_PF_YearZ!L37="",  OR($D$20="Year 3", $J$14 =3)))))), "", AND(L37="", H37&lt;&gt;"",$D$14="Yes",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Preliminary score = ",H37), AND(OR($D$20&lt;&gt;"",$J$14&lt;&gt;""),AND($D$20&lt;&gt;"Year 1",$J$14&lt;&gt;1),L37="", H37&lt;&gt;"", OR(AND(OR(EN_PF_YearY!$J$14= 1, EN_PF_YearY!$D$20="Year 1"), EN_PF_YearY!L37&lt;&gt;"",  OR($D$20="Year 2", $J$14 =2)), AND(OR(EN_PF_YearY!$J$14= 2, EN_PF_YearY!$D$20="Year 2"), EN_PF_YearY!L37&lt;&gt;"",  OR($D$20="Year 3", $J$14 =3)))), _xlfn.CONCAT("Validated old score = ",EN_PF_YearY!L37,"          Preliminary score = ",H37), AND(OR($D$20&lt;&gt;"",$J$14&lt;&gt;""),AND($D$20&lt;&gt;"Year 1",$J$14&lt;&gt;1),L37="", H37&lt;&gt;"", OR(AND(OR(EN_PF_YearZ!$J$14= 1, EN_PF_YearZ!$D$20="Year 1"), EN_PF_YearZ!L37&lt;&gt;"",  OR($D$20="Year 2", $J$14 =2)), AND(OR(EN_PF_YearZ!$J$14= 2, EN_PF_YearZ!$D$20="Year 2"), EN_PF_YearZ!L37&lt;&gt;"",  OR($D$20="Year 3", $J$14 =3)))), _xlfn.CONCAT("Validated old score = ",EN_PF_YearZ!L37,"          Preliminary score = ",H37), AND(OR($D$20&lt;&gt;"",$J$14&lt;&gt;""),AND($D$20&lt;&gt;"Year 1",$J$14&lt;&gt;1),L37&lt;&gt;"", OR(AND(OR(EN_PF_YearY!$J$14= 1, EN_PF_YearY!$D$20="Year 1"), EN_PF_YearY!L37&lt;&gt;"",  OR($D$20="Year 2", $J$14 =2)), AND(OR(EN_PF_YearY!$J$14= 2, EN_PF_YearY!$D$20="Year 2"), EN_PF_YearY!L37&lt;&gt;"",  OR($D$20="Year 3", $J$14 =3)))), _xlfn.CONCAT("Validated old score = ",EN_PF_YearY!L37,"               Validated new score = ",L37), AND(OR($D$20&lt;&gt;"",$J$14&lt;&gt;""),AND($D$20&lt;&gt;"Year 1",$J$14&lt;&gt;1),L37="", H37&lt;&gt;"", OR(AND(OR(EN_PF_YearZ!$J$14= 1, EN_PF_YearZ!$D$20="Year 1"), EN_PF_YearZ!L37&lt;&gt;"",  OR($D$20="Year 2", $J$14 =2)), AND(OR(EN_PF_YearZ!$J$14= 2, EN_PF_YearZ!$D$20="Year 2"), EN_PF_YearZ!L37&lt;&gt;"",  OR($D$20="Year 3", $J$14 =3)))), _xlfn.CONCAT("Validated old score = ",EN_PF_YearZ!L37,"               Validated new score = ",L37),AND(L37&lt;&gt;"",$D$14="Yes",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Validated new score = ",L37), AND(OR($D$14="No", $D$14="", EN_PF_QualitativeBaseline!$I$20=""),OR($D$20="Year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37" s="74"/>
      <c r="M37" s="55"/>
      <c r="N37" s="17"/>
      <c r="O37" s="17"/>
      <c r="P37" s="17"/>
      <c r="R37" s="54"/>
    </row>
    <row r="38" spans="1:18" ht="110.1" customHeight="1" x14ac:dyDescent="0.2">
      <c r="A38" s="17"/>
      <c r="B38" s="413"/>
      <c r="C38" s="409"/>
      <c r="D38" s="341" t="s">
        <v>168</v>
      </c>
      <c r="E38" s="341"/>
      <c r="F38" s="341"/>
      <c r="G38" s="80" t="s">
        <v>621</v>
      </c>
      <c r="H38" s="73" t="str" cm="1">
        <f t="array" ref="H38">_xlfn.IFS(G38=EN_PF_DROPDOWN!G26,"3",G38=EN_PF_DROPDOWN!G27,"2",G38=EN_PF_DROPDOWN!G28,"1",G38=EN_PF_DROPDOWN!G29,"0",G38="","")</f>
        <v>2</v>
      </c>
      <c r="I38" s="55"/>
      <c r="J38" s="62" t="str" cm="1">
        <f t="array" ref="J38">_xlfn.IFS(G38=EN_PF_DROPDOWN!G26,EN_PF_DROPDOWN!I26,G38=EN_PF_DROPDOWN!G27,EN_PF_DROPDOWN!I27,G38=EN_PF_DROPDOWN!G28,EN_PF_DROPDOWN!I28,G38=EN_PF_DROPDOWN!G29,EN_PF_DROPDOWN!I29,G38="","")</f>
        <v>Governance manuals
Election meeting minutes</v>
      </c>
      <c r="K38" s="78" t="str" cm="1">
        <f t="array" ref="K38">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OR(AND(H38="", L38=""), AND($D$20="",$J$14=""), AND(L38="", H38&lt;&gt;"",$D$14="Yes",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1",$J$14&lt;&gt;1),H38&lt;&gt;"", OR(AND(OR(EN_PF_YearY!$J$14= 1, EN_PF_YearY!$D$20="Year 1"), EN_PF_YearY!L38="",  OR($D$20="Year 2", $J$14 =2)), AND(OR(EN_PF_YearY!$J$14= 2, EN_PF_YearY!$D$20="Year 2"), EN_PF_YearY!L38="",  OR($D$20="Year 3", $J$14 =3)))), AND(OR($D$20&lt;&gt;"",$J$14&lt;&gt;""),AND($D$20&lt;&gt;"Year 1",$J$14&lt;&gt;1),L38="", H38&lt;&gt;"", OR(AND(OR(EN_PF_YearZ!$J$14= 1, EN_PF_YearZ!$D$20="Year 1"), EN_PF_YearZ!L38="",  OR($D$20="Year 2", $J$14 =2)), AND(OR(EN_PF_YearZ!$J$14= 2, EN_PF_YearZ!$D$20="Year 2"), EN_PF_YearZ!L38="",  OR($D$20="Year 3", $J$14 =3)))))), "", AND(L38="", H38&lt;&gt;"",$D$14="Yes",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Preliminary score = ",H38), AND(OR($D$20&lt;&gt;"",$J$14&lt;&gt;""),AND($D$20&lt;&gt;"Year 1",$J$14&lt;&gt;1),L38="", H38&lt;&gt;"", OR(AND(OR(EN_PF_YearY!$J$14= 1, EN_PF_YearY!$D$20="Year 1"), EN_PF_YearY!L38&lt;&gt;"",  OR($D$20="Year 2", $J$14 =2)), AND(OR(EN_PF_YearY!$J$14= 2, EN_PF_YearY!$D$20="Year 2"), EN_PF_YearY!L38&lt;&gt;"",  OR($D$20="Year 3", $J$14 =3)))), _xlfn.CONCAT("Validated old score = ",EN_PF_YearY!L38,"          Preliminary score = ",H38), AND(OR($D$20&lt;&gt;"",$J$14&lt;&gt;""),AND($D$20&lt;&gt;"Year 1",$J$14&lt;&gt;1),L38="", H38&lt;&gt;"", OR(AND(OR(EN_PF_YearZ!$J$14= 1, EN_PF_YearZ!$D$20="Year 1"), EN_PF_YearZ!L38&lt;&gt;"",  OR($D$20="Year 2", $J$14 =2)), AND(OR(EN_PF_YearZ!$J$14= 2, EN_PF_YearZ!$D$20="Year 2"), EN_PF_YearZ!L38&lt;&gt;"",  OR($D$20="Year 3", $J$14 =3)))), _xlfn.CONCAT("Validated old score = ",EN_PF_YearZ!L38,"          Preliminary score = ",H38), AND(OR($D$20&lt;&gt;"",$J$14&lt;&gt;""),AND($D$20&lt;&gt;"Year 1",$J$14&lt;&gt;1),L38&lt;&gt;"", OR(AND(OR(EN_PF_YearY!$J$14= 1, EN_PF_YearY!$D$20="Year 1"), EN_PF_YearY!L38&lt;&gt;"",  OR($D$20="Year 2", $J$14 =2)), AND(OR(EN_PF_YearY!$J$14= 2, EN_PF_YearY!$D$20="Year 2"), EN_PF_YearY!L38&lt;&gt;"",  OR($D$20="Year 3", $J$14 =3)))), _xlfn.CONCAT("Validated old score = ",EN_PF_YearY!L38,"               Validated new score = ",L38), AND(OR($D$20&lt;&gt;"",$J$14&lt;&gt;""),AND($D$20&lt;&gt;"Year 1",$J$14&lt;&gt;1),L38="", H38&lt;&gt;"", OR(AND(OR(EN_PF_YearZ!$J$14= 1, EN_PF_YearZ!$D$20="Year 1"), EN_PF_YearZ!L38&lt;&gt;"",  OR($D$20="Year 2", $J$14 =2)), AND(OR(EN_PF_YearZ!$J$14= 2, EN_PF_YearZ!$D$20="Year 2"), EN_PF_YearZ!L38&lt;&gt;"",  OR($D$20="Year 3", $J$14 =3)))), _xlfn.CONCAT("Validated old score = ",EN_PF_YearZ!L38,"               Validated new score = ",L38),AND(L38&lt;&gt;"",$D$14="Yes",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",EN_PF_QualitativeBaseline!$I$20,"               Validated new score = ",L38), AND(OR($D$14="No", $D$14="", EN_PF_QualitativeBaseline!$I$20=""),OR($D$20="Year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38" s="74"/>
      <c r="M38" s="55"/>
      <c r="N38" s="17"/>
      <c r="O38" s="17"/>
      <c r="P38" s="17"/>
      <c r="R38" s="54"/>
    </row>
    <row r="39" spans="1:18" ht="110.1" customHeight="1" x14ac:dyDescent="0.2">
      <c r="A39" s="17"/>
      <c r="B39" s="413"/>
      <c r="C39" s="407" t="s">
        <v>178</v>
      </c>
      <c r="D39" s="387" t="s">
        <v>329</v>
      </c>
      <c r="E39" s="388"/>
      <c r="F39" s="389"/>
      <c r="G39" s="80" t="s">
        <v>542</v>
      </c>
      <c r="H39" s="73" t="str" cm="1">
        <f t="array" ref="H39">_xlfn.IFS(G39=EN_PF_DROPDOWN!G32,"3",G39=EN_PF_DROPDOWN!G33,"2",G39=EN_PF_DROPDOWN!G34,"1",G39=EN_PF_DROPDOWN!G35,"0",G39="","")</f>
        <v>3</v>
      </c>
      <c r="I39" s="55"/>
      <c r="J39" s="62" t="str" cm="1">
        <f t="array" ref="J39">_xlfn.IFS(G39=EN_PF_DROPDOWN!G32,EN_PF_DROPDOWN!I32,G39=EN_PF_DROPDOWN!G33,EN_PF_DROPDOWN!I33,G39=EN_PF_DROPDOWN!G34,EN_PF_DROPDOWN!I34,G39=EN_PF_DROPDOWN!G35,EN_PF_DROPDOWN!I35,G39="","")</f>
        <v>Governance manuals
Membership list (Partner Portal - GED updated in the last 6 months)
Epidemiological Report
Election meeting minutes
Constituency consultations meeting minutes</v>
      </c>
      <c r="K39" s="78" t="str" cm="1">
        <f t="array" ref="K39">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OR(AND(H39="", L39=""), AND($D$20="",$J$14=""), AND(L39="", H39&lt;&gt;"",$D$14="Yes",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1",$J$14&lt;&gt;1),H39&lt;&gt;"", OR(AND(OR(EN_PF_YearY!$J$14= 1, EN_PF_YearY!$D$20="Year 1"), EN_PF_YearY!L39="",  OR($D$20="Year 2", $J$14 =2)), AND(OR(EN_PF_YearY!$J$14= 2, EN_PF_YearY!$D$20="Year 2"), EN_PF_YearY!L39="",  OR($D$20="Year 3", $J$14 =3)))), AND(OR($D$20&lt;&gt;"",$J$14&lt;&gt;""),AND($D$20&lt;&gt;"Year 1",$J$14&lt;&gt;1),L39="", H39&lt;&gt;"", OR(AND(OR(EN_PF_YearZ!$J$14= 1, EN_PF_YearZ!$D$20="Year 1"), EN_PF_YearZ!L39="",  OR($D$20="Year 2", $J$14 =2)), AND(OR(EN_PF_YearZ!$J$14= 2, EN_PF_YearZ!$D$20="Year 2"), EN_PF_YearZ!L39="",  OR($D$20="Year 3", $J$14 =3)))))), "", AND(L39="", H39&lt;&gt;"",$D$14="Yes",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",EN_PF_QualitativeBaseline!$I$21,"     Preliminary score = ",H39), AND(OR($D$20&lt;&gt;"",$J$14&lt;&gt;""),AND($D$20&lt;&gt;"Year 1",$J$14&lt;&gt;1),L39="", H39&lt;&gt;"", OR(AND(OR(EN_PF_YearY!$J$14= 1, EN_PF_YearY!$D$20="Year 1"), EN_PF_YearY!L39&lt;&gt;"",  OR($D$20="Year 2", $J$14 =2)), AND(OR(EN_PF_YearY!$J$14= 2, EN_PF_YearY!$D$20="Year 2"), EN_PF_YearY!L39&lt;&gt;"",  OR($D$20="Year 3", $J$14 =3)))), _xlfn.CONCAT("Validated old score = ",EN_PF_YearY!L39,"          Preliminary score = ",H39), AND(OR($D$20&lt;&gt;"",$J$14&lt;&gt;""),AND($D$20&lt;&gt;"Year 1",$J$14&lt;&gt;1),L39="", H39&lt;&gt;"", OR(AND(OR(EN_PF_YearZ!$J$14= 1, EN_PF_YearZ!$D$20="Year 1"), EN_PF_YearZ!L39&lt;&gt;"",  OR($D$20="Year 2", $J$14 =2)), AND(OR(EN_PF_YearZ!$J$14= 2, EN_PF_YearZ!$D$20="Year 2"), EN_PF_YearZ!L39&lt;&gt;"",  OR($D$20="Year 3", $J$14 =3)))), _xlfn.CONCAT("Validated old score = ",EN_PF_YearZ!L39,"          Preliminary score = ",H39), AND(OR($D$20&lt;&gt;"",$J$14&lt;&gt;""),AND($D$20&lt;&gt;"Year 1",$J$14&lt;&gt;1),L39&lt;&gt;"", OR(AND(OR(EN_PF_YearY!$J$14= 1, EN_PF_YearY!$D$20="Year 1"), EN_PF_YearY!L39&lt;&gt;"",  OR($D$20="Year 2", $J$14 =2)), AND(OR(EN_PF_YearY!$J$14= 2, EN_PF_YearY!$D$20="Year 2"), EN_PF_YearY!L39&lt;&gt;"",  OR($D$20="Year 3", $J$14 =3)))), _xlfn.CONCAT("Validated old score = ",EN_PF_YearY!L39,"               Validated new score = ",L39), AND(OR($D$20&lt;&gt;"",$J$14&lt;&gt;""),AND($D$20&lt;&gt;"Year 1",$J$14&lt;&gt;1),L39="", H39&lt;&gt;"", OR(AND(OR(EN_PF_YearZ!$J$14= 1, EN_PF_YearZ!$D$20="Year 1"), EN_PF_YearZ!L39&lt;&gt;"",  OR($D$20="Year 2", $J$14 =2)), AND(OR(EN_PF_YearZ!$J$14= 2, EN_PF_YearZ!$D$20="Year 2"), EN_PF_YearZ!L39&lt;&gt;"",  OR($D$20="Year 3", $J$14 =3)))), _xlfn.CONCAT("Validated old score = ",EN_PF_YearZ!L39,"               Validated new score = ",L39),AND(L39&lt;&gt;"",$D$14="Yes",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",EN_PF_QualitativeBaseline!$I$21,"               Validated new score = ",L39), AND(OR($D$14="No", $D$14="", EN_PF_QualitativeBaseline!$I$21=""),OR($D$20="Year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3</v>
      </c>
      <c r="L39" s="74"/>
      <c r="M39" s="55"/>
      <c r="N39" s="17"/>
      <c r="O39" s="17"/>
      <c r="P39" s="17"/>
      <c r="R39" s="54"/>
    </row>
    <row r="40" spans="1:18" ht="110.1" customHeight="1" x14ac:dyDescent="0.2">
      <c r="A40" s="17"/>
      <c r="B40" s="413"/>
      <c r="C40" s="409"/>
      <c r="D40" s="341" t="s">
        <v>383</v>
      </c>
      <c r="E40" s="341"/>
      <c r="F40" s="341"/>
      <c r="G40" s="80" t="s">
        <v>626</v>
      </c>
      <c r="H40" s="73" t="str" cm="1">
        <f t="array" ref="H40">_xlfn.IFS(G40=EN_PF_DROPDOWN!G38,"3",G40=EN_PF_DROPDOWN!G39,"2",G40=EN_PF_DROPDOWN!G40,"1",G40=EN_PF_DROPDOWN!G41,"0",G40="","")</f>
        <v>2</v>
      </c>
      <c r="I40" s="55"/>
      <c r="J40" s="62" t="str" cm="1">
        <f t="array" ref="J40">_xlfn.IFS(G40=EN_PF_DROPDOWN!G38,EN_PF_DROPDOWN!I38,G40=EN_PF_DROPDOWN!G39,EN_PF_DROPDOWN!I39,G40=EN_PF_DROPDOWN!G40,EN_PF_DROPDOWN!I40,G40=EN_PF_DROPDOWN!G41,EN_PF_DROPDOWN!I41,G40="","")</f>
        <v>Governance manuals
Membership list (Partner Portal - GED updated in the last 6 months) of Committees
Meeting minutes with attendance lists
List of membership changes due to low attendance</v>
      </c>
      <c r="K40" s="78" t="str" cm="1">
        <f t="array" ref="K40">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OR(AND(H40="", L40=""), AND($D$20="",$J$14=""), AND(L40="", H40&lt;&gt;"",$D$14="Yes",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1",$J$14&lt;&gt;1),H40&lt;&gt;"", OR(AND(OR(EN_PF_YearY!$J$14= 1, EN_PF_YearY!$D$20="Year 1"), EN_PF_YearY!L40="",  OR($D$20="Year 2", $J$14 =2)), AND(OR(EN_PF_YearY!$J$14= 2, EN_PF_YearY!$D$20="Year 2"), EN_PF_YearY!L40="",  OR($D$20="Year 3", $J$14 =3)))), AND(OR($D$20&lt;&gt;"",$J$14&lt;&gt;""),AND($D$20&lt;&gt;"Year 1",$J$14&lt;&gt;1),L40="", H40&lt;&gt;"", OR(AND(OR(EN_PF_YearZ!$J$14= 1, EN_PF_YearZ!$D$20="Year 1"), EN_PF_YearZ!L40="",  OR($D$20="Year 2", $J$14 =2)), AND(OR(EN_PF_YearZ!$J$14= 2, EN_PF_YearZ!$D$20="Year 2"), EN_PF_YearZ!L40="",  OR($D$20="Year 3", $J$14 =3)))))), "", AND(L40="", H40&lt;&gt;"",$D$14="Yes",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",EN_PF_QualitativeBaseline!$I$21,"     Preliminary score = ",H40), AND(OR($D$20&lt;&gt;"",$J$14&lt;&gt;""),AND($D$20&lt;&gt;"Year 1",$J$14&lt;&gt;1),L40="", H40&lt;&gt;"", OR(AND(OR(EN_PF_YearY!$J$14= 1, EN_PF_YearY!$D$20="Year 1"), EN_PF_YearY!L40&lt;&gt;"",  OR($D$20="Year 2", $J$14 =2)), AND(OR(EN_PF_YearY!$J$14= 2, EN_PF_YearY!$D$20="Year 2"), EN_PF_YearY!L40&lt;&gt;"",  OR($D$20="Year 3", $J$14 =3)))), _xlfn.CONCAT("Validated old score = ",EN_PF_YearY!L40,"          Preliminary score = ",H40), AND(OR($D$20&lt;&gt;"",$J$14&lt;&gt;""),AND($D$20&lt;&gt;"Year 1",$J$14&lt;&gt;1),L40="", H40&lt;&gt;"", OR(AND(OR(EN_PF_YearZ!$J$14= 1, EN_PF_YearZ!$D$20="Year 1"), EN_PF_YearZ!L40&lt;&gt;"",  OR($D$20="Year 2", $J$14 =2)), AND(OR(EN_PF_YearZ!$J$14= 2, EN_PF_YearZ!$D$20="Year 2"), EN_PF_YearZ!L40&lt;&gt;"",  OR($D$20="Year 3", $J$14 =3)))), _xlfn.CONCAT("Validated old score = ",EN_PF_YearZ!L40,"          Preliminary score = ",H40), AND(OR($D$20&lt;&gt;"",$J$14&lt;&gt;""),AND($D$20&lt;&gt;"Year 1",$J$14&lt;&gt;1),L40&lt;&gt;"", OR(AND(OR(EN_PF_YearY!$J$14= 1, EN_PF_YearY!$D$20="Year 1"), EN_PF_YearY!L40&lt;&gt;"",  OR($D$20="Year 2", $J$14 =2)), AND(OR(EN_PF_YearY!$J$14= 2, EN_PF_YearY!$D$20="Year 2"), EN_PF_YearY!L40&lt;&gt;"",  OR($D$20="Year 3", $J$14 =3)))), _xlfn.CONCAT("Validated old score = ",EN_PF_YearY!L40,"               Validated new score = ",L40), AND(OR($D$20&lt;&gt;"",$J$14&lt;&gt;""),AND($D$20&lt;&gt;"Year 1",$J$14&lt;&gt;1),L40="", H40&lt;&gt;"", OR(AND(OR(EN_PF_YearZ!$J$14= 1, EN_PF_YearZ!$D$20="Year 1"), EN_PF_YearZ!L40&lt;&gt;"",  OR($D$20="Year 2", $J$14 =2)), AND(OR(EN_PF_YearZ!$J$14= 2, EN_PF_YearZ!$D$20="Year 2"), EN_PF_YearZ!L40&lt;&gt;"",  OR($D$20="Year 3", $J$14 =3)))), _xlfn.CONCAT("Validated old score = ",EN_PF_YearZ!L40,"               Validated new score = ",L40),AND(L40&lt;&gt;"",$D$14="Yes",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",EN_PF_QualitativeBaseline!$I$21,"               Validated new score = ",L40), AND(OR($D$14="No", $D$14="", EN_PF_QualitativeBaseline!$I$21=""),OR($D$20="Year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40" s="74"/>
      <c r="M40" s="55"/>
      <c r="N40" s="17"/>
      <c r="O40" s="17"/>
      <c r="P40" s="17"/>
      <c r="R40" s="54"/>
    </row>
    <row r="41" spans="1:18" ht="110.1" customHeight="1" x14ac:dyDescent="0.2">
      <c r="A41" s="17"/>
      <c r="B41" s="413"/>
      <c r="C41" s="47" t="s">
        <v>678</v>
      </c>
      <c r="D41" s="341" t="s">
        <v>553</v>
      </c>
      <c r="E41" s="341"/>
      <c r="F41" s="341"/>
      <c r="G41" s="80" t="s">
        <v>548</v>
      </c>
      <c r="H41" s="73" t="str" cm="1">
        <f t="array" ref="H41">_xlfn.IFS(G41=EN_PF_DROPDOWN!G44,"3",G41=EN_PF_DROPDOWN!G45,"2",G41=EN_PF_DROPDOWN!G46,"1",G41=EN_PF_DROPDOWN!G47,"0",G41="","")</f>
        <v>2</v>
      </c>
      <c r="I41" s="55"/>
      <c r="J41" s="62" t="str" cm="1">
        <f t="array" ref="J41">_xlfn.IFS(G41=EN_PF_DROPDOWN!G44,EN_PF_DROPDOWN!I44,G41=EN_PF_DROPDOWN!G45,EN_PF_DROPDOWN!I45,G41=EN_PF_DROPDOWN!G46,EN_PF_DROPDOWN!I46,G41=EN_PF_DROPDOWN!G47,EN_PF_DROPDOWN!I47,G41="","")</f>
        <v xml:space="preserve">Engagement/communication plans
Funding Agreement budgets and reports
Minutes of constituency meetings
General assembly meetings showing civil society priorities are discussed
CLM reports
</v>
      </c>
      <c r="K41" s="78" t="str" cm="1">
        <f t="array" ref="K41">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OR(AND(H41="", L41=""), AND($D$20="",$J$14=""), AND(L41="", H41&lt;&gt;"",$D$14="Yes",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1",$J$14&lt;&gt;1),H41&lt;&gt;"", OR(AND(OR(EN_PF_YearY!$J$14= 1, EN_PF_YearY!$D$20="Year 1"), EN_PF_YearY!L41="",  OR($D$20="Year 2", $J$14 =2)), AND(OR(EN_PF_YearY!$J$14= 2, EN_PF_YearY!$D$20="Year 2"), EN_PF_YearY!L41="",  OR($D$20="Year 3", $J$14 =3)))), AND(OR($D$20&lt;&gt;"",$J$14&lt;&gt;""),AND($D$20&lt;&gt;"Year 1",$J$14&lt;&gt;1),L41="", H41&lt;&gt;"", OR(AND(OR(EN_PF_YearZ!$J$14= 1, EN_PF_YearZ!$D$20="Year 1"), EN_PF_YearZ!L41="",  OR($D$20="Year 2", $J$14 =2)), AND(OR(EN_PF_YearZ!$J$14= 2, EN_PF_YearZ!$D$20="Year 2"), EN_PF_YearZ!L41="",  OR($D$20="Year 3", $J$14 =3)))))), "", AND(L41="", H41&lt;&gt;"",$D$14="Yes",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",EN_PF_QualitativeBaseline!$I$22,"     Preliminary score = ",H41), AND(OR($D$20&lt;&gt;"",$J$14&lt;&gt;""),AND($D$20&lt;&gt;"Year 1",$J$14&lt;&gt;1),L41="", H41&lt;&gt;"", OR(AND(OR(EN_PF_YearY!$J$14= 1, EN_PF_YearY!$D$20="Year 1"), EN_PF_YearY!L41&lt;&gt;"",  OR($D$20="Year 2", $J$14 =2)), AND(OR(EN_PF_YearY!$J$14= 2, EN_PF_YearY!$D$20="Year 2"), EN_PF_YearY!L41&lt;&gt;"",  OR($D$20="Year 3", $J$14 =3)))), _xlfn.CONCAT("Validated old score = ",EN_PF_YearY!L41,"          Preliminary score = ",H41), AND(OR($D$20&lt;&gt;"",$J$14&lt;&gt;""),AND($D$20&lt;&gt;"Year 1",$J$14&lt;&gt;1),L41="", H41&lt;&gt;"", OR(AND(OR(EN_PF_YearZ!$J$14= 1, EN_PF_YearZ!$D$20="Year 1"), EN_PF_YearZ!L41&lt;&gt;"",  OR($D$20="Year 2", $J$14 =2)), AND(OR(EN_PF_YearZ!$J$14= 2, EN_PF_YearZ!$D$20="Year 2"), EN_PF_YearZ!L41&lt;&gt;"",  OR($D$20="Year 3", $J$14 =3)))), _xlfn.CONCAT("Validated old score = ",EN_PF_YearZ!L41,"          Preliminary score = ",H41), AND(OR($D$20&lt;&gt;"",$J$14&lt;&gt;""),AND($D$20&lt;&gt;"Year 1",$J$14&lt;&gt;1),L41&lt;&gt;"", OR(AND(OR(EN_PF_YearY!$J$14= 1, EN_PF_YearY!$D$20="Year 1"), EN_PF_YearY!L41&lt;&gt;"",  OR($D$20="Year 2", $J$14 =2)), AND(OR(EN_PF_YearY!$J$14= 2, EN_PF_YearY!$D$20="Year 2"), EN_PF_YearY!L41&lt;&gt;"",  OR($D$20="Year 3", $J$14 =3)))), _xlfn.CONCAT("Validated old score = ",EN_PF_YearY!L41,"               Validated new score = ",L41), AND(OR($D$20&lt;&gt;"",$J$14&lt;&gt;""),AND($D$20&lt;&gt;"Year 1",$J$14&lt;&gt;1),L41="", H41&lt;&gt;"", OR(AND(OR(EN_PF_YearZ!$J$14= 1, EN_PF_YearZ!$D$20="Year 1"), EN_PF_YearZ!L41&lt;&gt;"",  OR($D$20="Year 2", $J$14 =2)), AND(OR(EN_PF_YearZ!$J$14= 2, EN_PF_YearZ!$D$20="Year 2"), EN_PF_YearZ!L41&lt;&gt;"",  OR($D$20="Year 3", $J$14 =3)))), _xlfn.CONCAT("Validated old score = ",EN_PF_YearZ!L41,"               Validated new score = ",L41),AND(L41&lt;&gt;"",$D$14="Yes",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",EN_PF_QualitativeBaseline!$I$22,"               Validated new score = ",L41), AND(OR($D$14="No", $D$14="", EN_PF_QualitativeBaseline!$I$22=""),OR($D$20="Year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41" s="74"/>
      <c r="M41" s="55"/>
      <c r="N41" s="17"/>
      <c r="O41" s="17"/>
      <c r="P41" s="17"/>
      <c r="R41" s="54"/>
    </row>
    <row r="42" spans="1:18" ht="110.1" customHeight="1" x14ac:dyDescent="0.2">
      <c r="A42" s="17"/>
      <c r="B42" s="414"/>
      <c r="C42" s="47" t="s">
        <v>179</v>
      </c>
      <c r="D42" s="341" t="s">
        <v>441</v>
      </c>
      <c r="E42" s="341"/>
      <c r="F42" s="341"/>
      <c r="G42" s="80" t="s">
        <v>552</v>
      </c>
      <c r="H42" s="73" t="str" cm="1">
        <f t="array" ref="H42">_xlfn.IFS(G42=EN_PF_DROPDOWN!G50,"3",G42=EN_PF_DROPDOWN!G51,"2",G42=EN_PF_DROPDOWN!G52,"1",G42=EN_PF_DROPDOWN!G53,"0",G42="","")</f>
        <v>2</v>
      </c>
      <c r="I42" s="55"/>
      <c r="J42" s="62" t="str" cm="1">
        <f t="array" ref="J42">_xlfn.IFS(G42=EN_PF_DROPDOWN!G50,EN_PF_DROPDOWN!I50,G42=EN_PF_DROPDOWN!G51,EN_PF_DROPDOWN!I51,G42=EN_PF_DROPDOWN!G52,EN_PF_DROPDOWN!I52,G42=EN_PF_DROPDOWN!G53,EN_PF_DROPDOWN!I53,G42="","")</f>
        <v>National Strategic Health Plan
Meeting minutes
List of attendees</v>
      </c>
      <c r="K42" s="78" t="str" cm="1">
        <f t="array" ref="K42">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OR(AND(H42="", L42=""), AND($D$20="",$J$14=""), AND(L42="", H42&lt;&gt;"",$D$14="Yes",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1",$J$14&lt;&gt;1),H42&lt;&gt;"", OR(AND(OR(EN_PF_YearY!$J$14= 1, EN_PF_YearY!$D$20="Year 1"), EN_PF_YearY!L42="",  OR($D$20="Year 2", $J$14 =2)), AND(OR(EN_PF_YearY!$J$14= 2, EN_PF_YearY!$D$20="Year 2"), EN_PF_YearY!L42="",  OR($D$20="Year 3", $J$14 =3)))), AND(OR($D$20&lt;&gt;"",$J$14&lt;&gt;""),AND($D$20&lt;&gt;"Year 1",$J$14&lt;&gt;1),L42="", H42&lt;&gt;"", OR(AND(OR(EN_PF_YearZ!$J$14= 1, EN_PF_YearZ!$D$20="Year 1"), EN_PF_YearZ!L42="",  OR($D$20="Year 2", $J$14 =2)), AND(OR(EN_PF_YearZ!$J$14= 2, EN_PF_YearZ!$D$20="Year 2"), EN_PF_YearZ!L42="",  OR($D$20="Year 3", $J$14 =3)))))), "", AND(L42="", H42&lt;&gt;"",$D$14="Yes",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",EN_PF_QualitativeBaseline!$I$23,"     Preliminary score = ",H42), AND(OR($D$20&lt;&gt;"",$J$14&lt;&gt;""),AND($D$20&lt;&gt;"Year 1",$J$14&lt;&gt;1),L42="", H42&lt;&gt;"", OR(AND(OR(EN_PF_YearY!$J$14= 1, EN_PF_YearY!$D$20="Year 1"), EN_PF_YearY!L42&lt;&gt;"",  OR($D$20="Year 2", $J$14 =2)), AND(OR(EN_PF_YearY!$J$14= 2, EN_PF_YearY!$D$20="Year 2"), EN_PF_YearY!L42&lt;&gt;"",  OR($D$20="Year 3", $J$14 =3)))), _xlfn.CONCAT("Validated old score = ",EN_PF_YearY!L42,"          Preliminary score = ",H42), AND(OR($D$20&lt;&gt;"",$J$14&lt;&gt;""),AND($D$20&lt;&gt;"Year 1",$J$14&lt;&gt;1),L42="", H42&lt;&gt;"", OR(AND(OR(EN_PF_YearZ!$J$14= 1, EN_PF_YearZ!$D$20="Year 1"), EN_PF_YearZ!L42&lt;&gt;"",  OR($D$20="Year 2", $J$14 =2)), AND(OR(EN_PF_YearZ!$J$14= 2, EN_PF_YearZ!$D$20="Year 2"), EN_PF_YearZ!L42&lt;&gt;"",  OR($D$20="Year 3", $J$14 =3)))), _xlfn.CONCAT("Validated old score = ",EN_PF_YearZ!L42,"          Preliminary score = ",H42), AND(OR($D$20&lt;&gt;"",$J$14&lt;&gt;""),AND($D$20&lt;&gt;"Year 1",$J$14&lt;&gt;1),L42&lt;&gt;"", OR(AND(OR(EN_PF_YearY!$J$14= 1, EN_PF_YearY!$D$20="Year 1"), EN_PF_YearY!L42&lt;&gt;"",  OR($D$20="Year 2", $J$14 =2)), AND(OR(EN_PF_YearY!$J$14= 2, EN_PF_YearY!$D$20="Year 2"), EN_PF_YearY!L42&lt;&gt;"",  OR($D$20="Year 3", $J$14 =3)))), _xlfn.CONCAT("Validated old score = ",EN_PF_YearY!L42,"               Validated new score = ",L42), AND(OR($D$20&lt;&gt;"",$J$14&lt;&gt;""),AND($D$20&lt;&gt;"Year 1",$J$14&lt;&gt;1),L42="", H42&lt;&gt;"", OR(AND(OR(EN_PF_YearZ!$J$14= 1, EN_PF_YearZ!$D$20="Year 1"), EN_PF_YearZ!L42&lt;&gt;"",  OR($D$20="Year 2", $J$14 =2)), AND(OR(EN_PF_YearZ!$J$14= 2, EN_PF_YearZ!$D$20="Year 2"), EN_PF_YearZ!L42&lt;&gt;"",  OR($D$20="Year 3", $J$14 =3)))), _xlfn.CONCAT("Validated old score = ",EN_PF_YearZ!L42,"               Validated new score = ",L42),AND(L42&lt;&gt;"",$D$14="Yes",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",EN_PF_QualitativeBaseline!$I$23,"               Validated new score = ",L42), AND(OR($D$14="No", $D$14="", EN_PF_QualitativeBaseline!$I$23=""),OR($D$20="Year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0     Preliminary score = 2</v>
      </c>
      <c r="L42" s="74"/>
      <c r="M42" s="55"/>
      <c r="N42" s="17"/>
      <c r="O42" s="17"/>
      <c r="P42" s="17"/>
      <c r="R42" s="60"/>
    </row>
    <row r="43" spans="1:18" ht="110.1" customHeight="1" x14ac:dyDescent="0.2">
      <c r="A43" s="43"/>
      <c r="B43" s="351" t="s">
        <v>114</v>
      </c>
      <c r="C43" s="407" t="s">
        <v>182</v>
      </c>
      <c r="D43" s="341" t="s">
        <v>169</v>
      </c>
      <c r="E43" s="341"/>
      <c r="F43" s="341"/>
      <c r="G43" s="80" t="s">
        <v>554</v>
      </c>
      <c r="H43" s="73" t="str" cm="1">
        <f t="array" ref="H43">_xlfn.IFS(G43=EN_PF_DROPDOWN!K3,"2",G43=EN_PF_DROPDOWN!K4,"1",G43=EN_PF_DROPDOWN!K5,"0",G43="","")</f>
        <v>2</v>
      </c>
      <c r="I43" s="55"/>
      <c r="J43" s="62" t="str" cm="1">
        <f t="array" ref="J43">_xlfn.IFS(G43=EN_PF_DROPDOWN!K3,EN_PF_DROPDOWN!M3,G43=EN_PF_DROPDOWN!K4,EN_PF_DROPDOWN!M4,G43=EN_PF_DROPDOWN!K5,EN_PF_DROPDOWN!M5,G43="","")</f>
        <v>Mapping of health governance landscape
Positioning Plan
Memorandum of Understanding
Meeting minutes showing an integrated review of Global Fund and national / regional programs.</v>
      </c>
      <c r="K43" s="78" t="str" cm="1">
        <f t="array" ref="K43">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OR(AND(H43="", L43=""), AND($D$20="",$J$14=""), AND(L43="", H43&lt;&gt;"",$D$14="Yes",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1",$J$14&lt;&gt;1),H43&lt;&gt;"", OR(AND(OR(EN_PF_YearY!$J$14= 1, EN_PF_YearY!$D$20="Year 1"), EN_PF_YearY!L43="",  OR($D$20="Year 2", $J$14 =2)), AND(OR(EN_PF_YearY!$J$14= 2, EN_PF_YearY!$D$20="Year 2"), EN_PF_YearY!L43="",  OR($D$20="Year 3", $J$14 =3)))), AND(OR($D$20&lt;&gt;"",$J$14&lt;&gt;""),AND($D$20&lt;&gt;"Year 1",$J$14&lt;&gt;1),L43="", H43&lt;&gt;"", OR(AND(OR(EN_PF_YearZ!$J$14= 1, EN_PF_YearZ!$D$20="Year 1"), EN_PF_YearZ!L43="",  OR($D$20="Year 2", $J$14 =2)), AND(OR(EN_PF_YearZ!$J$14= 2, EN_PF_YearZ!$D$20="Year 2"), EN_PF_YearZ!L43="",  OR($D$20="Year 3", $J$14 =3)))))), "", AND(L43="", H43&lt;&gt;"",$D$14="Yes",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",EN_PF_QualitativeBaseline!$I$24,"     Preliminary score = ",H43), AND(OR($D$20&lt;&gt;"",$J$14&lt;&gt;""),AND($D$20&lt;&gt;"Year 1",$J$14&lt;&gt;1),L43="", H43&lt;&gt;"", OR(AND(OR(EN_PF_YearY!$J$14= 1, EN_PF_YearY!$D$20="Year 1"), EN_PF_YearY!L43&lt;&gt;"",  OR($D$20="Year 2", $J$14 =2)), AND(OR(EN_PF_YearY!$J$14= 2, EN_PF_YearY!$D$20="Year 2"), EN_PF_YearY!L43&lt;&gt;"",  OR($D$20="Year 3", $J$14 =3)))), _xlfn.CONCAT("Validated old score = ",EN_PF_YearY!L43,"          Preliminary score = ",H43), AND(OR($D$20&lt;&gt;"",$J$14&lt;&gt;""),AND($D$20&lt;&gt;"Year 1",$J$14&lt;&gt;1),L43="", H43&lt;&gt;"", OR(AND(OR(EN_PF_YearZ!$J$14= 1, EN_PF_YearZ!$D$20="Year 1"), EN_PF_YearZ!L43&lt;&gt;"",  OR($D$20="Year 2", $J$14 =2)), AND(OR(EN_PF_YearZ!$J$14= 2, EN_PF_YearZ!$D$20="Year 2"), EN_PF_YearZ!L43&lt;&gt;"",  OR($D$20="Year 3", $J$14 =3)))), _xlfn.CONCAT("Validated old score = ",EN_PF_YearZ!L43,"          Preliminary score = ",H43), AND(OR($D$20&lt;&gt;"",$J$14&lt;&gt;""),AND($D$20&lt;&gt;"Year 1",$J$14&lt;&gt;1),L43&lt;&gt;"", OR(AND(OR(EN_PF_YearY!$J$14= 1, EN_PF_YearY!$D$20="Year 1"), EN_PF_YearY!L43&lt;&gt;"",  OR($D$20="Year 2", $J$14 =2)), AND(OR(EN_PF_YearY!$J$14= 2, EN_PF_YearY!$D$20="Year 2"), EN_PF_YearY!L43&lt;&gt;"",  OR($D$20="Year 3", $J$14 =3)))), _xlfn.CONCAT("Validated old score = ",EN_PF_YearY!L43,"               Validated new score = ",L43), AND(OR($D$20&lt;&gt;"",$J$14&lt;&gt;""),AND($D$20&lt;&gt;"Year 1",$J$14&lt;&gt;1),L43="", H43&lt;&gt;"", OR(AND(OR(EN_PF_YearZ!$J$14= 1, EN_PF_YearZ!$D$20="Year 1"), EN_PF_YearZ!L43&lt;&gt;"",  OR($D$20="Year 2", $J$14 =2)), AND(OR(EN_PF_YearZ!$J$14= 2, EN_PF_YearZ!$D$20="Year 2"), EN_PF_YearZ!L43&lt;&gt;"",  OR($D$20="Year 3", $J$14 =3)))), _xlfn.CONCAT("Validated old score = ",EN_PF_YearZ!L43,"               Validated new score = ",L43),AND(L43&lt;&gt;"",$D$14="Yes",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",EN_PF_QualitativeBaseline!$I$24,"               Validated new score = ",L43), AND(OR($D$14="No", $D$14="", EN_PF_QualitativeBaseline!$I$24=""),OR($D$20="Year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1     Preliminary score = 2</v>
      </c>
      <c r="L43" s="74"/>
      <c r="M43" s="55"/>
      <c r="N43" s="17"/>
      <c r="O43" s="17"/>
      <c r="P43" s="17"/>
    </row>
    <row r="44" spans="1:18" ht="110.1" customHeight="1" x14ac:dyDescent="0.2">
      <c r="A44" s="43"/>
      <c r="B44" s="417"/>
      <c r="C44" s="409"/>
      <c r="D44" s="341" t="s">
        <v>170</v>
      </c>
      <c r="E44" s="341"/>
      <c r="F44" s="341"/>
      <c r="G44" s="80" t="s">
        <v>555</v>
      </c>
      <c r="H44" s="73" t="str" cm="1">
        <f t="array" ref="H44">_xlfn.IFS(G44=EN_PF_DROPDOWN!K8,"3",G44=EN_PF_DROPDOWN!K9,"2",G44=EN_PF_DROPDOWN!K10,"1",G44=EN_PF_DROPDOWN!K11,"0",G44="","")</f>
        <v>3</v>
      </c>
      <c r="I44" s="55"/>
      <c r="J44" s="62" t="str" cm="1">
        <f t="array" ref="J44">_xlfn.IFS(G44=EN_PF_DROPDOWN!K8,EN_PF_DROPDOWN!M8,G44=EN_PF_DROPDOWN!K9,EN_PF_DROPDOWN!M9,G44=EN_PF_DROPDOWN!K10,EN_PF_DROPDOWN!M10,G44=EN_PF_DROPDOWN!K11,EN_PF_DROPDOWN!M11,G44="","")</f>
        <v xml:space="preserve">Memorandum of Understanding / governmental decree on integration of health coordination functions
Positioning plan
Minutes of joint meetings on health programs review
</v>
      </c>
      <c r="K44" s="78" t="str" cm="1">
        <f t="array" ref="K44">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OR(AND(H44="", L44=""), AND($D$20="",$J$14=""), AND(L44="", H44&lt;&gt;"",$D$14="Yes",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1",$J$14&lt;&gt;1),H44&lt;&gt;"", OR(AND(OR(EN_PF_YearY!$J$14= 1, EN_PF_YearY!$D$20="Year 1"), EN_PF_YearY!L44="",  OR($D$20="Year 2", $J$14 =2)), AND(OR(EN_PF_YearY!$J$14= 2, EN_PF_YearY!$D$20="Year 2"), EN_PF_YearY!L44="",  OR($D$20="Year 3", $J$14 =3)))), AND(OR($D$20&lt;&gt;"",$J$14&lt;&gt;""),AND($D$20&lt;&gt;"Year 1",$J$14&lt;&gt;1),L44="", H44&lt;&gt;"", OR(AND(OR(EN_PF_YearZ!$J$14= 1, EN_PF_YearZ!$D$20="Year 1"), EN_PF_YearZ!L44="",  OR($D$20="Year 2", $J$14 =2)), AND(OR(EN_PF_YearZ!$J$14= 2, EN_PF_YearZ!$D$20="Year 2"), EN_PF_YearZ!L44="",  OR($D$20="Year 3", $J$14 =3)))))), "", AND(L44="", H44&lt;&gt;"",$D$14="Yes",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",EN_PF_QualitativeBaseline!$I$24,"     Preliminary score = ",H44), AND(OR($D$20&lt;&gt;"",$J$14&lt;&gt;""),AND($D$20&lt;&gt;"Year 1",$J$14&lt;&gt;1),L44="", H44&lt;&gt;"", OR(AND(OR(EN_PF_YearY!$J$14= 1, EN_PF_YearY!$D$20="Year 1"), EN_PF_YearY!L44&lt;&gt;"",  OR($D$20="Year 2", $J$14 =2)), AND(OR(EN_PF_YearY!$J$14= 2, EN_PF_YearY!$D$20="Year 2"), EN_PF_YearY!L44&lt;&gt;"",  OR($D$20="Year 3", $J$14 =3)))), _xlfn.CONCAT("Validated old score = ",EN_PF_YearY!L44,"          Preliminary score = ",H44), AND(OR($D$20&lt;&gt;"",$J$14&lt;&gt;""),AND($D$20&lt;&gt;"Year 1",$J$14&lt;&gt;1),L44="", H44&lt;&gt;"", OR(AND(OR(EN_PF_YearZ!$J$14= 1, EN_PF_YearZ!$D$20="Year 1"), EN_PF_YearZ!L44&lt;&gt;"",  OR($D$20="Year 2", $J$14 =2)), AND(OR(EN_PF_YearZ!$J$14= 2, EN_PF_YearZ!$D$20="Year 2"), EN_PF_YearZ!L44&lt;&gt;"",  OR($D$20="Year 3", $J$14 =3)))), _xlfn.CONCAT("Validated old score = ",EN_PF_YearZ!L44,"          Preliminary score = ",H44), AND(OR($D$20&lt;&gt;"",$J$14&lt;&gt;""),AND($D$20&lt;&gt;"Year 1",$J$14&lt;&gt;1),L44&lt;&gt;"", OR(AND(OR(EN_PF_YearY!$J$14= 1, EN_PF_YearY!$D$20="Year 1"), EN_PF_YearY!L44&lt;&gt;"",  OR($D$20="Year 2", $J$14 =2)), AND(OR(EN_PF_YearY!$J$14= 2, EN_PF_YearY!$D$20="Year 2"), EN_PF_YearY!L44&lt;&gt;"",  OR($D$20="Year 3", $J$14 =3)))), _xlfn.CONCAT("Validated old score = ",EN_PF_YearY!L44,"               Validated new score = ",L44), AND(OR($D$20&lt;&gt;"",$J$14&lt;&gt;""),AND($D$20&lt;&gt;"Year 1",$J$14&lt;&gt;1),L44="", H44&lt;&gt;"", OR(AND(OR(EN_PF_YearZ!$J$14= 1, EN_PF_YearZ!$D$20="Year 1"), EN_PF_YearZ!L44&lt;&gt;"",  OR($D$20="Year 2", $J$14 =2)), AND(OR(EN_PF_YearZ!$J$14= 2, EN_PF_YearZ!$D$20="Year 2"), EN_PF_YearZ!L44&lt;&gt;"",  OR($D$20="Year 3", $J$14 =3)))), _xlfn.CONCAT("Validated old score = ",EN_PF_YearZ!L44,"               Validated new score = ",L44),AND(L44&lt;&gt;"",$D$14="Yes",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",EN_PF_QualitativeBaseline!$I$24,"               Validated new score = ",L44), AND(OR($D$14="No", $D$14="", EN_PF_QualitativeBaseline!$I$24=""),OR($D$20="Year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1     Preliminary score = 3</v>
      </c>
      <c r="L44" s="74"/>
      <c r="M44" s="55"/>
      <c r="N44" s="17"/>
      <c r="O44" s="17"/>
      <c r="P44" s="17"/>
    </row>
    <row r="45" spans="1:18" ht="110.1" customHeight="1" x14ac:dyDescent="0.2">
      <c r="A45" s="43"/>
      <c r="B45" s="417"/>
      <c r="C45" s="47" t="s">
        <v>183</v>
      </c>
      <c r="D45" s="341" t="s">
        <v>217</v>
      </c>
      <c r="E45" s="341"/>
      <c r="F45" s="341"/>
      <c r="G45" s="80" t="s">
        <v>559</v>
      </c>
      <c r="H45" s="73" t="str" cm="1">
        <f t="array" ref="H45">_xlfn.IFS(G45=EN_PF_DROPDOWN!K14,"3",G45=EN_PF_DROPDOWN!K15,"2",G45=EN_PF_DROPDOWN!K16,"1",G45=EN_PF_DROPDOWN!K17,"0",G45="","")</f>
        <v>2</v>
      </c>
      <c r="I45" s="55" t="s">
        <v>749</v>
      </c>
      <c r="J45" s="62" t="str" cm="1">
        <f t="array" ref="J45">_xlfn.IFS(G45=EN_PF_DROPDOWN!K14,EN_PF_DROPDOWN!M14,G45=EN_PF_DROPDOWN!K15,EN_PF_DROPDOWN!M15,G45=EN_PF_DROPDOWN!K16,EN_PF_DROPDOWN!M16,G45=EN_PF_DROPDOWN!K17,EN_PF_DROPDOWN!M17,G45="","")</f>
        <v>Memorandum of understanding with outlined collaboration protocol
Oversight tools (for instance, dashboards)
Technical committees meeting minutes</v>
      </c>
      <c r="K45" s="78" t="str" cm="1">
        <f t="array" ref="K45">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OR(AND(H45="", L45=""), AND($D$20="",$J$14=""), AND(L45="", H45&lt;&gt;"",$D$14="Yes",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1",$J$14&lt;&gt;1),H45&lt;&gt;"", OR(AND(OR(EN_PF_YearY!$J$14= 1, EN_PF_YearY!$D$20="Year 1"), EN_PF_YearY!L45="",  OR($D$20="Year 2", $J$14 =2)), AND(OR(EN_PF_YearY!$J$14= 2, EN_PF_YearY!$D$20="Year 2"), EN_PF_YearY!L45="",  OR($D$20="Year 3", $J$14 =3)))), AND(OR($D$20&lt;&gt;"",$J$14&lt;&gt;""),AND($D$20&lt;&gt;"Year 1",$J$14&lt;&gt;1),L45="", H45&lt;&gt;"", OR(AND(OR(EN_PF_YearZ!$J$14= 1, EN_PF_YearZ!$D$20="Year 1"), EN_PF_YearZ!L45="",  OR($D$20="Year 2", $J$14 =2)), AND(OR(EN_PF_YearZ!$J$14= 2, EN_PF_YearZ!$D$20="Year 2"), EN_PF_YearZ!L45="",  OR($D$20="Year 3", $J$14 =3)))))), "", AND(L45="", H45&lt;&gt;"",$D$14="Yes",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",EN_PF_QualitativeBaseline!$I$25,"     Preliminary score = ",H45), AND(OR($D$20&lt;&gt;"",$J$14&lt;&gt;""),AND($D$20&lt;&gt;"Year 1",$J$14&lt;&gt;1),L45="", H45&lt;&gt;"", OR(AND(OR(EN_PF_YearY!$J$14= 1, EN_PF_YearY!$D$20="Year 1"), EN_PF_YearY!L45&lt;&gt;"",  OR($D$20="Year 2", $J$14 =2)), AND(OR(EN_PF_YearY!$J$14= 2, EN_PF_YearY!$D$20="Year 2"), EN_PF_YearY!L45&lt;&gt;"",  OR($D$20="Year 3", $J$14 =3)))), _xlfn.CONCAT("Validated old score = ",EN_PF_YearY!L45,"          Preliminary score = ",H45), AND(OR($D$20&lt;&gt;"",$J$14&lt;&gt;""),AND($D$20&lt;&gt;"Year 1",$J$14&lt;&gt;1),L45="", H45&lt;&gt;"", OR(AND(OR(EN_PF_YearZ!$J$14= 1, EN_PF_YearZ!$D$20="Year 1"), EN_PF_YearZ!L45&lt;&gt;"",  OR($D$20="Year 2", $J$14 =2)), AND(OR(EN_PF_YearZ!$J$14= 2, EN_PF_YearZ!$D$20="Year 2"), EN_PF_YearZ!L45&lt;&gt;"",  OR($D$20="Year 3", $J$14 =3)))), _xlfn.CONCAT("Validated old score = ",EN_PF_YearZ!L45,"          Preliminary score = ",H45), AND(OR($D$20&lt;&gt;"",$J$14&lt;&gt;""),AND($D$20&lt;&gt;"Year 1",$J$14&lt;&gt;1),L45&lt;&gt;"", OR(AND(OR(EN_PF_YearY!$J$14= 1, EN_PF_YearY!$D$20="Year 1"), EN_PF_YearY!L45&lt;&gt;"",  OR($D$20="Year 2", $J$14 =2)), AND(OR(EN_PF_YearY!$J$14= 2, EN_PF_YearY!$D$20="Year 2"), EN_PF_YearY!L45&lt;&gt;"",  OR($D$20="Year 3", $J$14 =3)))), _xlfn.CONCAT("Validated old score = ",EN_PF_YearY!L45,"               Validated new score = ",L45), AND(OR($D$20&lt;&gt;"",$J$14&lt;&gt;""),AND($D$20&lt;&gt;"Year 1",$J$14&lt;&gt;1),L45="", H45&lt;&gt;"", OR(AND(OR(EN_PF_YearZ!$J$14= 1, EN_PF_YearZ!$D$20="Year 1"), EN_PF_YearZ!L45&lt;&gt;"",  OR($D$20="Year 2", $J$14 =2)), AND(OR(EN_PF_YearZ!$J$14= 2, EN_PF_YearZ!$D$20="Year 2"), EN_PF_YearZ!L45&lt;&gt;"",  OR($D$20="Year 3", $J$14 =3)))), _xlfn.CONCAT("Validated old score = ",EN_PF_YearZ!L45,"               Validated new score = ",L45),AND(L45&lt;&gt;"",$D$14="Yes",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",EN_PF_QualitativeBaseline!$I$25,"               Validated new score = ",L45), AND(OR($D$14="No", $D$14="", EN_PF_QualitativeBaseline!$I$25=""),OR($D$20="Year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1     Preliminary score = 2</v>
      </c>
      <c r="L45" s="74"/>
      <c r="M45" s="55"/>
      <c r="N45" s="17"/>
      <c r="O45" s="17"/>
      <c r="P45" s="17"/>
    </row>
    <row r="46" spans="1:18" ht="110.1" customHeight="1" x14ac:dyDescent="0.2">
      <c r="A46" s="43"/>
      <c r="B46" s="417"/>
      <c r="C46" s="47" t="s">
        <v>184</v>
      </c>
      <c r="D46" s="341" t="s">
        <v>390</v>
      </c>
      <c r="E46" s="341"/>
      <c r="F46" s="341"/>
      <c r="G46" s="80" t="s">
        <v>563</v>
      </c>
      <c r="H46" s="73" t="str" cm="1">
        <f t="array" ref="H46">_xlfn.IFS(G46=EN_PF_DROPDOWN!K20,"3",G46=EN_PF_DROPDOWN!K21,"2",G46=EN_PF_DROPDOWN!K22,"1",G46=EN_PF_DROPDOWN!K23,"0",G46="","")</f>
        <v>1</v>
      </c>
      <c r="I46" s="55"/>
      <c r="J46" s="62" t="str" cm="1">
        <f t="array" ref="J46">_xlfn.IFS(G46=EN_PF_DROPDOWN!K20,EN_PF_DROPDOWN!M20,G46=EN_PF_DROPDOWN!K21,EN_PF_DROPDOWN!M21,G46=EN_PF_DROPDOWN!K22,EN_PF_DROPDOWN!M22,G46=EN_PF_DROPDOWN!K23,EN_PF_DROPDOWN!M23,G46="","")</f>
        <v>Assembly agendas and meeting minutes
Participants' list</v>
      </c>
      <c r="K46" s="78" t="str" cm="1">
        <f t="array" ref="K46">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OR(AND(H46="", L46=""), AND($D$20="",$J$14=""), AND(L46="", H46&lt;&gt;"",$D$14="Yes",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1",$J$14&lt;&gt;1),H46&lt;&gt;"", OR(AND(OR(EN_PF_YearY!$J$14= 1, EN_PF_YearY!$D$20="Year 1"), EN_PF_YearY!L46="",  OR($D$20="Year 2", $J$14 =2)), AND(OR(EN_PF_YearY!$J$14= 2, EN_PF_YearY!$D$20="Year 2"), EN_PF_YearY!L46="",  OR($D$20="Year 3", $J$14 =3)))), AND(OR($D$20&lt;&gt;"",$J$14&lt;&gt;""),AND($D$20&lt;&gt;"Year 1",$J$14&lt;&gt;1),L46="", H46&lt;&gt;"", OR(AND(OR(EN_PF_YearZ!$J$14= 1, EN_PF_YearZ!$D$20="Year 1"), EN_PF_YearZ!L46="",  OR($D$20="Year 2", $J$14 =2)), AND(OR(EN_PF_YearZ!$J$14= 2, EN_PF_YearZ!$D$20="Year 2"), EN_PF_YearZ!L46="",  OR($D$20="Year 3", $J$14 =3)))))), "", AND(L46="", H46&lt;&gt;"",$D$14="Yes",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",EN_PF_QualitativeBaseline!$I$26,"     Preliminary score = ",H46), AND(OR($D$20&lt;&gt;"",$J$14&lt;&gt;""),AND($D$20&lt;&gt;"Year 1",$J$14&lt;&gt;1),L46="", H46&lt;&gt;"", OR(AND(OR(EN_PF_YearY!$J$14= 1, EN_PF_YearY!$D$20="Year 1"), EN_PF_YearY!L46&lt;&gt;"",  OR($D$20="Year 2", $J$14 =2)), AND(OR(EN_PF_YearY!$J$14= 2, EN_PF_YearY!$D$20="Year 2"), EN_PF_YearY!L46&lt;&gt;"",  OR($D$20="Year 3", $J$14 =3)))), _xlfn.CONCAT("Validated old score = ",EN_PF_YearY!L46,"          Preliminary score = ",H46), AND(OR($D$20&lt;&gt;"",$J$14&lt;&gt;""),AND($D$20&lt;&gt;"Year 1",$J$14&lt;&gt;1),L46="", H46&lt;&gt;"", OR(AND(OR(EN_PF_YearZ!$J$14= 1, EN_PF_YearZ!$D$20="Year 1"), EN_PF_YearZ!L46&lt;&gt;"",  OR($D$20="Year 2", $J$14 =2)), AND(OR(EN_PF_YearZ!$J$14= 2, EN_PF_YearZ!$D$20="Year 2"), EN_PF_YearZ!L46&lt;&gt;"",  OR($D$20="Year 3", $J$14 =3)))), _xlfn.CONCAT("Validated old score = ",EN_PF_YearZ!L46,"          Preliminary score = ",H46), AND(OR($D$20&lt;&gt;"",$J$14&lt;&gt;""),AND($D$20&lt;&gt;"Year 1",$J$14&lt;&gt;1),L46&lt;&gt;"", OR(AND(OR(EN_PF_YearY!$J$14= 1, EN_PF_YearY!$D$20="Year 1"), EN_PF_YearY!L46&lt;&gt;"",  OR($D$20="Year 2", $J$14 =2)), AND(OR(EN_PF_YearY!$J$14= 2, EN_PF_YearY!$D$20="Year 2"), EN_PF_YearY!L46&lt;&gt;"",  OR($D$20="Year 3", $J$14 =3)))), _xlfn.CONCAT("Validated old score = ",EN_PF_YearY!L46,"               Validated new score = ",L46), AND(OR($D$20&lt;&gt;"",$J$14&lt;&gt;""),AND($D$20&lt;&gt;"Year 1",$J$14&lt;&gt;1),L46="", H46&lt;&gt;"", OR(AND(OR(EN_PF_YearZ!$J$14= 1, EN_PF_YearZ!$D$20="Year 1"), EN_PF_YearZ!L46&lt;&gt;"",  OR($D$20="Year 2", $J$14 =2)), AND(OR(EN_PF_YearZ!$J$14= 2, EN_PF_YearZ!$D$20="Year 2"), EN_PF_YearZ!L46&lt;&gt;"",  OR($D$20="Year 3", $J$14 =3)))), _xlfn.CONCAT("Validated old score = ",EN_PF_YearZ!L46,"               Validated new score = ",L46),AND(L46&lt;&gt;"",$D$14="Yes",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",EN_PF_QualitativeBaseline!$I$26,"               Validated new score = ",L46), AND(OR($D$14="No", $D$14="", EN_PF_QualitativeBaseline!$I$26=""),OR($D$20="Year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1</v>
      </c>
      <c r="L46" s="74"/>
      <c r="M46" s="55"/>
      <c r="N46" s="17"/>
      <c r="O46" s="17"/>
      <c r="P46" s="17"/>
    </row>
    <row r="47" spans="1:18" ht="110.1" customHeight="1" x14ac:dyDescent="0.2">
      <c r="A47" s="43"/>
      <c r="B47" s="418"/>
      <c r="C47" s="47" t="s">
        <v>185</v>
      </c>
      <c r="D47" s="341" t="s">
        <v>171</v>
      </c>
      <c r="E47" s="341"/>
      <c r="F47" s="341"/>
      <c r="G47" s="80" t="s">
        <v>564</v>
      </c>
      <c r="H47" s="73" t="str" cm="1">
        <f t="array" ref="H47">_xlfn.IFS(G47=EN_PF_DROPDOWN!K26,"3",G47=EN_PF_DROPDOWN!K27,"2",G47=EN_PF_DROPDOWN!K28,"1",G47=EN_PF_DROPDOWN!K29,"0",G47="","")</f>
        <v>2</v>
      </c>
      <c r="I47" s="55" t="s">
        <v>756</v>
      </c>
      <c r="J47" s="62" t="str" cm="1">
        <f t="array" ref="J47">_xlfn.IFS(G47=EN_PF_DROPDOWN!K26,EN_PF_DROPDOWN!M26,G47=EN_PF_DROPDOWN!K27,EN_PF_DROPDOWN!M27,G47=EN_PF_DROPDOWN!K28,EN_PF_DROPDOWN!M28,G47=EN_PF_DROPDOWN!K29,EN_PF_DROPDOWN!M29,G47="","")</f>
        <v>Mapping of health governance platforms
Meeting minutes documenting civil society priorities in discussions
Contact information of other coordinating platforms engaging with civil society.</v>
      </c>
      <c r="K47" s="78" t="str" cm="1">
        <f t="array" ref="K47">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OR(AND(H47="", L47=""), AND($D$20="",$J$14=""), AND(L47="", H47&lt;&gt;"",$D$14="Yes",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1",$J$14&lt;&gt;1),H47&lt;&gt;"", OR(AND(OR(EN_PF_YearY!$J$14= 1, EN_PF_YearY!$D$20="Year 1"), EN_PF_YearY!L47="",  OR($D$20="Year 2", $J$14 =2)), AND(OR(EN_PF_YearY!$J$14= 2, EN_PF_YearY!$D$20="Year 2"), EN_PF_YearY!L47="",  OR($D$20="Year 3", $J$14 =3)))), AND(OR($D$20&lt;&gt;"",$J$14&lt;&gt;""),AND($D$20&lt;&gt;"Year 1",$J$14&lt;&gt;1),L47="", H47&lt;&gt;"", OR(AND(OR(EN_PF_YearZ!$J$14= 1, EN_PF_YearZ!$D$20="Year 1"), EN_PF_YearZ!L47="",  OR($D$20="Year 2", $J$14 =2)), AND(OR(EN_PF_YearZ!$J$14= 2, EN_PF_YearZ!$D$20="Year 2"), EN_PF_YearZ!L47="",  OR($D$20="Year 3", $J$14 =3)))))), "", AND(L47="", H47&lt;&gt;"",$D$14="Yes",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",EN_PF_QualitativeBaseline!$I$27,"     Preliminary score = ",H47), AND(OR($D$20&lt;&gt;"",$J$14&lt;&gt;""),AND($D$20&lt;&gt;"Year 1",$J$14&lt;&gt;1),L47="", H47&lt;&gt;"", OR(AND(OR(EN_PF_YearY!$J$14= 1, EN_PF_YearY!$D$20="Year 1"), EN_PF_YearY!L47&lt;&gt;"",  OR($D$20="Year 2", $J$14 =2)), AND(OR(EN_PF_YearY!$J$14= 2, EN_PF_YearY!$D$20="Year 2"), EN_PF_YearY!L47&lt;&gt;"",  OR($D$20="Year 3", $J$14 =3)))), _xlfn.CONCAT("Validated old score = ",EN_PF_YearY!L47,"          Preliminary score = ",H47), AND(OR($D$20&lt;&gt;"",$J$14&lt;&gt;""),AND($D$20&lt;&gt;"Year 1",$J$14&lt;&gt;1),L47="", H47&lt;&gt;"", OR(AND(OR(EN_PF_YearZ!$J$14= 1, EN_PF_YearZ!$D$20="Year 1"), EN_PF_YearZ!L47&lt;&gt;"",  OR($D$20="Year 2", $J$14 =2)), AND(OR(EN_PF_YearZ!$J$14= 2, EN_PF_YearZ!$D$20="Year 2"), EN_PF_YearZ!L47&lt;&gt;"",  OR($D$20="Year 3", $J$14 =3)))), _xlfn.CONCAT("Validated old score = ",EN_PF_YearZ!L47,"          Preliminary score = ",H47), AND(OR($D$20&lt;&gt;"",$J$14&lt;&gt;""),AND($D$20&lt;&gt;"Year 1",$J$14&lt;&gt;1),L47&lt;&gt;"", OR(AND(OR(EN_PF_YearY!$J$14= 1, EN_PF_YearY!$D$20="Year 1"), EN_PF_YearY!L47&lt;&gt;"",  OR($D$20="Year 2", $J$14 =2)), AND(OR(EN_PF_YearY!$J$14= 2, EN_PF_YearY!$D$20="Year 2"), EN_PF_YearY!L47&lt;&gt;"",  OR($D$20="Year 3", $J$14 =3)))), _xlfn.CONCAT("Validated old score = ",EN_PF_YearY!L47,"               Validated new score = ",L47), AND(OR($D$20&lt;&gt;"",$J$14&lt;&gt;""),AND($D$20&lt;&gt;"Year 1",$J$14&lt;&gt;1),L47="", H47&lt;&gt;"", OR(AND(OR(EN_PF_YearZ!$J$14= 1, EN_PF_YearZ!$D$20="Year 1"), EN_PF_YearZ!L47&lt;&gt;"",  OR($D$20="Year 2", $J$14 =2)), AND(OR(EN_PF_YearZ!$J$14= 2, EN_PF_YearZ!$D$20="Year 2"), EN_PF_YearZ!L47&lt;&gt;"",  OR($D$20="Year 3", $J$14 =3)))), _xlfn.CONCAT("Validated old score = ",EN_PF_YearZ!L47,"               Validated new score = ",L47),AND(L47&lt;&gt;"",$D$14="Yes",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",EN_PF_QualitativeBaseline!$I$27,"               Validated new score = ",L47), AND(OR($D$14="No", $D$14="", EN_PF_QualitativeBaseline!$I$27=""),OR($D$20="Year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1     Preliminary score = 2</v>
      </c>
      <c r="L47" s="74"/>
      <c r="M47" s="55"/>
      <c r="N47" s="17"/>
      <c r="O47" s="17"/>
      <c r="P47" s="17"/>
    </row>
    <row r="48" spans="1:18" ht="110.1" customHeight="1" x14ac:dyDescent="0.2">
      <c r="A48" s="17"/>
      <c r="B48" s="334" t="s">
        <v>118</v>
      </c>
      <c r="C48" s="407" t="s">
        <v>186</v>
      </c>
      <c r="D48" s="341" t="s">
        <v>611</v>
      </c>
      <c r="E48" s="341"/>
      <c r="F48" s="341"/>
      <c r="G48" s="80" t="s">
        <v>253</v>
      </c>
      <c r="H48" s="73" t="str" cm="1">
        <f t="array" ref="H48">_xlfn.IFS(G48=EN_PF_DROPDOWN!O3,"3",G48=EN_PF_DROPDOWN!O4,"2",G48=EN_PF_DROPDOWN!O5,"1",G48=EN_PF_DROPDOWN!O6,"0",G48="","")</f>
        <v>2</v>
      </c>
      <c r="I48" s="55" t="s">
        <v>751</v>
      </c>
      <c r="J48" s="62" t="str" cm="1">
        <f t="array" ref="J48">_xlfn.IFS(G48=EN_PF_DROPDOWN!O3,EN_PF_DROPDOWN!Q3,G48=EN_PF_DROPDOWN!O4,EN_PF_DROPDOWN!Q4,G48=EN_PF_DROPDOWN!O5,EN_PF_DROPDOWN!Q5,G48=EN_PF_DROPDOWN!O6,EN_PF_DROPDOWN!Q6,G48="","")</f>
        <v>CoI Policy
CoI forms
Meeting minutes notifying the approval of the Code of Conduct
Ethics Focal Point contact / Committee members list</v>
      </c>
      <c r="K48" s="78" t="str" cm="1">
        <f t="array" ref="K48">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OR(AND(H48="", L48=""), AND($D$20="",$J$14=""), AND(L48="", H48&lt;&gt;"",$D$14="Yes",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1",$J$14&lt;&gt;1),H48&lt;&gt;"", OR(AND(OR(EN_PF_YearY!$J$14= 1, EN_PF_YearY!$D$20="Year 1"), EN_PF_YearY!L48="",  OR($D$20="Year 2", $J$14 =2)), AND(OR(EN_PF_YearY!$J$14= 2, EN_PF_YearY!$D$20="Year 2"), EN_PF_YearY!L48="",  OR($D$20="Year 3", $J$14 =3)))), AND(OR($D$20&lt;&gt;"",$J$14&lt;&gt;""),AND($D$20&lt;&gt;"Year 1",$J$14&lt;&gt;1),L48="", H48&lt;&gt;"", OR(AND(OR(EN_PF_YearZ!$J$14= 1, EN_PF_YearZ!$D$20="Year 1"), EN_PF_YearZ!L48="",  OR($D$20="Year 2", $J$14 =2)), AND(OR(EN_PF_YearZ!$J$14= 2, EN_PF_YearZ!$D$20="Year 2"), EN_PF_YearZ!L48="",  OR($D$20="Year 3", $J$14 =3)))))), "", AND(L48="", H48&lt;&gt;"",$D$14="Yes",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",EN_PF_QualitativeBaseline!$I$28,"     Preliminary score = ",H48), AND(OR($D$20&lt;&gt;"",$J$14&lt;&gt;""),AND($D$20&lt;&gt;"Year 1",$J$14&lt;&gt;1),L48="", H48&lt;&gt;"", OR(AND(OR(EN_PF_YearY!$J$14= 1, EN_PF_YearY!$D$20="Year 1"), EN_PF_YearY!L48&lt;&gt;"",  OR($D$20="Year 2", $J$14 =2)), AND(OR(EN_PF_YearY!$J$14= 2, EN_PF_YearY!$D$20="Year 2"), EN_PF_YearY!L48&lt;&gt;"",  OR($D$20="Year 3", $J$14 =3)))), _xlfn.CONCAT("Validated old score = ",EN_PF_YearY!L48,"          Preliminary score = ",H48), AND(OR($D$20&lt;&gt;"",$J$14&lt;&gt;""),AND($D$20&lt;&gt;"Year 1",$J$14&lt;&gt;1),L48="", H48&lt;&gt;"", OR(AND(OR(EN_PF_YearZ!$J$14= 1, EN_PF_YearZ!$D$20="Year 1"), EN_PF_YearZ!L48&lt;&gt;"",  OR($D$20="Year 2", $J$14 =2)), AND(OR(EN_PF_YearZ!$J$14= 2, EN_PF_YearZ!$D$20="Year 2"), EN_PF_YearZ!L48&lt;&gt;"",  OR($D$20="Year 3", $J$14 =3)))), _xlfn.CONCAT("Validated old score = ",EN_PF_YearZ!L48,"          Preliminary score = ",H48), AND(OR($D$20&lt;&gt;"",$J$14&lt;&gt;""),AND($D$20&lt;&gt;"Year 1",$J$14&lt;&gt;1),L48&lt;&gt;"", OR(AND(OR(EN_PF_YearY!$J$14= 1, EN_PF_YearY!$D$20="Year 1"), EN_PF_YearY!L48&lt;&gt;"",  OR($D$20="Year 2", $J$14 =2)), AND(OR(EN_PF_YearY!$J$14= 2, EN_PF_YearY!$D$20="Year 2"), EN_PF_YearY!L48&lt;&gt;"",  OR($D$20="Year 3", $J$14 =3)))), _xlfn.CONCAT("Validated old score = ",EN_PF_YearY!L48,"               Validated new score = ",L48), AND(OR($D$20&lt;&gt;"",$J$14&lt;&gt;""),AND($D$20&lt;&gt;"Year 1",$J$14&lt;&gt;1),L48="", H48&lt;&gt;"", OR(AND(OR(EN_PF_YearZ!$J$14= 1, EN_PF_YearZ!$D$20="Year 1"), EN_PF_YearZ!L48&lt;&gt;"",  OR($D$20="Year 2", $J$14 =2)), AND(OR(EN_PF_YearZ!$J$14= 2, EN_PF_YearZ!$D$20="Year 2"), EN_PF_YearZ!L48&lt;&gt;"",  OR($D$20="Year 3", $J$14 =3)))), _xlfn.CONCAT("Validated old score = ",EN_PF_YearZ!L48,"               Validated new score = ",L48),AND(L48&lt;&gt;"",$D$14="Yes",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",EN_PF_QualitativeBaseline!$I$28,"               Validated new score = ",L48), AND(OR($D$14="No", $D$14="", EN_PF_QualitativeBaseline!$I$28=""),OR($D$20="Year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48" s="74"/>
      <c r="M48" s="55"/>
      <c r="N48" s="17"/>
      <c r="O48" s="17"/>
      <c r="P48" s="17"/>
    </row>
    <row r="49" spans="1:16" ht="110.1" customHeight="1" x14ac:dyDescent="0.2">
      <c r="A49" s="17"/>
      <c r="B49" s="335"/>
      <c r="C49" s="408"/>
      <c r="D49" s="341" t="s">
        <v>654</v>
      </c>
      <c r="E49" s="341"/>
      <c r="F49" s="341"/>
      <c r="G49" s="80" t="s">
        <v>571</v>
      </c>
      <c r="H49" s="73" t="str" cm="1">
        <f t="array" ref="H49">_xlfn.IFS(G49=EN_PF_DROPDOWN!O9,"3",G49=EN_PF_DROPDOWN!O10,"2",G49=EN_PF_DROPDOWN!O11,"1",G49=EN_PF_DROPDOWN!O12,"0",G49="","")</f>
        <v>1</v>
      </c>
      <c r="I49" s="55" t="s">
        <v>750</v>
      </c>
      <c r="J49" s="62" t="str" cm="1">
        <f t="array" ref="J49">_xlfn.IFS(G49=EN_PF_DROPDOWN!O9,EN_PF_DROPDOWN!Q9,G49=EN_PF_DROPDOWN!O10,EN_PF_DROPDOWN!Q10,G49=EN_PF_DROPDOWN!O11,EN_PF_DROPDOWN!Q11,G49=EN_PF_DROPDOWN!O12,EN_PF_DROPDOWN!Q12,G49="","")</f>
        <v>CoI Policy
CoI forms
Membership list (Partner Portal - GED updated in the last 6 months)</v>
      </c>
      <c r="K49" s="78" t="str" cm="1">
        <f t="array" ref="K49">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OR(AND(H49="", L49=""), AND($D$20="",$J$14=""), AND(L49="", H49&lt;&gt;"",$D$14="Yes",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1",$J$14&lt;&gt;1),H49&lt;&gt;"", OR(AND(OR(EN_PF_YearY!$J$14= 1, EN_PF_YearY!$D$20="Year 1"), EN_PF_YearY!L49="",  OR($D$20="Year 2", $J$14 =2)), AND(OR(EN_PF_YearY!$J$14= 2, EN_PF_YearY!$D$20="Year 2"), EN_PF_YearY!L49="",  OR($D$20="Year 3", $J$14 =3)))), AND(OR($D$20&lt;&gt;"",$J$14&lt;&gt;""),AND($D$20&lt;&gt;"Year 1",$J$14&lt;&gt;1),L49="", H49&lt;&gt;"", OR(AND(OR(EN_PF_YearZ!$J$14= 1, EN_PF_YearZ!$D$20="Year 1"), EN_PF_YearZ!L49="",  OR($D$20="Year 2", $J$14 =2)), AND(OR(EN_PF_YearZ!$J$14= 2, EN_PF_YearZ!$D$20="Year 2"), EN_PF_YearZ!L49="",  OR($D$20="Year 3", $J$14 =3)))))), "", AND(L49="", H49&lt;&gt;"",$D$14="Yes",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",EN_PF_QualitativeBaseline!$I$28,"     Preliminary score = ",H49), AND(OR($D$20&lt;&gt;"",$J$14&lt;&gt;""),AND($D$20&lt;&gt;"Year 1",$J$14&lt;&gt;1),L49="", H49&lt;&gt;"", OR(AND(OR(EN_PF_YearY!$J$14= 1, EN_PF_YearY!$D$20="Year 1"), EN_PF_YearY!L49&lt;&gt;"",  OR($D$20="Year 2", $J$14 =2)), AND(OR(EN_PF_YearY!$J$14= 2, EN_PF_YearY!$D$20="Year 2"), EN_PF_YearY!L49&lt;&gt;"",  OR($D$20="Year 3", $J$14 =3)))), _xlfn.CONCAT("Validated old score = ",EN_PF_YearY!L49,"          Preliminary score = ",H49), AND(OR($D$20&lt;&gt;"",$J$14&lt;&gt;""),AND($D$20&lt;&gt;"Year 1",$J$14&lt;&gt;1),L49="", H49&lt;&gt;"", OR(AND(OR(EN_PF_YearZ!$J$14= 1, EN_PF_YearZ!$D$20="Year 1"), EN_PF_YearZ!L49&lt;&gt;"",  OR($D$20="Year 2", $J$14 =2)), AND(OR(EN_PF_YearZ!$J$14= 2, EN_PF_YearZ!$D$20="Year 2"), EN_PF_YearZ!L49&lt;&gt;"",  OR($D$20="Year 3", $J$14 =3)))), _xlfn.CONCAT("Validated old score = ",EN_PF_YearZ!L49,"          Preliminary score = ",H49), AND(OR($D$20&lt;&gt;"",$J$14&lt;&gt;""),AND($D$20&lt;&gt;"Year 1",$J$14&lt;&gt;1),L49&lt;&gt;"", OR(AND(OR(EN_PF_YearY!$J$14= 1, EN_PF_YearY!$D$20="Year 1"), EN_PF_YearY!L49&lt;&gt;"",  OR($D$20="Year 2", $J$14 =2)), AND(OR(EN_PF_YearY!$J$14= 2, EN_PF_YearY!$D$20="Year 2"), EN_PF_YearY!L49&lt;&gt;"",  OR($D$20="Year 3", $J$14 =3)))), _xlfn.CONCAT("Validated old score = ",EN_PF_YearY!L49,"               Validated new score = ",L49), AND(OR($D$20&lt;&gt;"",$J$14&lt;&gt;""),AND($D$20&lt;&gt;"Year 1",$J$14&lt;&gt;1),L49="", H49&lt;&gt;"", OR(AND(OR(EN_PF_YearZ!$J$14= 1, EN_PF_YearZ!$D$20="Year 1"), EN_PF_YearZ!L49&lt;&gt;"",  OR($D$20="Year 2", $J$14 =2)), AND(OR(EN_PF_YearZ!$J$14= 2, EN_PF_YearZ!$D$20="Year 2"), EN_PF_YearZ!L49&lt;&gt;"",  OR($D$20="Year 3", $J$14 =3)))), _xlfn.CONCAT("Validated old score = ",EN_PF_YearZ!L49,"               Validated new score = ",L49),AND(L49&lt;&gt;"",$D$14="Yes",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",EN_PF_QualitativeBaseline!$I$28,"               Validated new score = ",L49), AND(OR($D$14="No", $D$14="", EN_PF_QualitativeBaseline!$I$28=""),OR($D$20="Year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1</v>
      </c>
      <c r="L49" s="74"/>
      <c r="M49" s="55"/>
      <c r="N49" s="17"/>
      <c r="O49" s="17"/>
      <c r="P49" s="17"/>
    </row>
    <row r="50" spans="1:16" ht="110.1" customHeight="1" x14ac:dyDescent="0.2">
      <c r="A50" s="17"/>
      <c r="B50" s="335"/>
      <c r="C50" s="409"/>
      <c r="D50" s="341" t="s">
        <v>575</v>
      </c>
      <c r="E50" s="341"/>
      <c r="F50" s="341"/>
      <c r="G50" s="80" t="s">
        <v>634</v>
      </c>
      <c r="H50" s="73" t="str" cm="1">
        <f t="array" ref="H50">_xlfn.IFS(G50=EN_PF_DROPDOWN!O15,"3",G50=EN_PF_DROPDOWN!O16,"1",G50=EN_PF_DROPDOWN!O17,"0",G50="","")</f>
        <v>1</v>
      </c>
      <c r="I50" s="55"/>
      <c r="J50" s="62" t="str" cm="1">
        <f t="array" ref="J50">_xlfn.IFS(G50=EN_PF_DROPDOWN!O15,EN_PF_DROPDOWN!Q15,G50=EN_PF_DROPDOWN!O16,EN_PF_DROPDOWN!Q16,G50=EN_PF_DROPDOWN!O17,EN_PF_DROPDOWN!Q17,G50="","")</f>
        <v>Ethics Focal Point contact / Committee members list
Meeting minutes on Ethics updates</v>
      </c>
      <c r="K50" s="78" t="str" cm="1">
        <f t="array" ref="K50">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OR(AND(H50="", L50=""), AND($D$20="",$J$14=""), AND(L50="", H50&lt;&gt;"",$D$14="Yes",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1",$J$14&lt;&gt;1),H50&lt;&gt;"", OR(AND(OR(EN_PF_YearY!$J$14= 1, EN_PF_YearY!$D$20="Year 1"), EN_PF_YearY!L50="",  OR($D$20="Year 2", $J$14 =2)), AND(OR(EN_PF_YearY!$J$14= 2, EN_PF_YearY!$D$20="Year 2"), EN_PF_YearY!L50="",  OR($D$20="Year 3", $J$14 =3)))), AND(OR($D$20&lt;&gt;"",$J$14&lt;&gt;""),AND($D$20&lt;&gt;"Year 1",$J$14&lt;&gt;1),L50="", H50&lt;&gt;"", OR(AND(OR(EN_PF_YearZ!$J$14= 1, EN_PF_YearZ!$D$20="Year 1"), EN_PF_YearZ!L50="",  OR($D$20="Year 2", $J$14 =2)), AND(OR(EN_PF_YearZ!$J$14= 2, EN_PF_YearZ!$D$20="Year 2"), EN_PF_YearZ!L50="",  OR($D$20="Year 3", $J$14 =3)))))), "", AND(L50="", H50&lt;&gt;"",$D$14="Yes",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",EN_PF_QualitativeBaseline!$I$28,"     Preliminary score = ",H50), AND(OR($D$20&lt;&gt;"",$J$14&lt;&gt;""),AND($D$20&lt;&gt;"Year 1",$J$14&lt;&gt;1),L50="", H50&lt;&gt;"", OR(AND(OR(EN_PF_YearY!$J$14= 1, EN_PF_YearY!$D$20="Year 1"), EN_PF_YearY!L50&lt;&gt;"",  OR($D$20="Year 2", $J$14 =2)), AND(OR(EN_PF_YearY!$J$14= 2, EN_PF_YearY!$D$20="Year 2"), EN_PF_YearY!L50&lt;&gt;"",  OR($D$20="Year 3", $J$14 =3)))), _xlfn.CONCAT("Validated old score = ",EN_PF_YearY!L50,"          Preliminary score = ",H50), AND(OR($D$20&lt;&gt;"",$J$14&lt;&gt;""),AND($D$20&lt;&gt;"Year 1",$J$14&lt;&gt;1),L50="", H50&lt;&gt;"", OR(AND(OR(EN_PF_YearZ!$J$14= 1, EN_PF_YearZ!$D$20="Year 1"), EN_PF_YearZ!L50&lt;&gt;"",  OR($D$20="Year 2", $J$14 =2)), AND(OR(EN_PF_YearZ!$J$14= 2, EN_PF_YearZ!$D$20="Year 2"), EN_PF_YearZ!L50&lt;&gt;"",  OR($D$20="Year 3", $J$14 =3)))), _xlfn.CONCAT("Validated old score = ",EN_PF_YearZ!L50,"          Preliminary score = ",H50), AND(OR($D$20&lt;&gt;"",$J$14&lt;&gt;""),AND($D$20&lt;&gt;"Year 1",$J$14&lt;&gt;1),L50&lt;&gt;"", OR(AND(OR(EN_PF_YearY!$J$14= 1, EN_PF_YearY!$D$20="Year 1"), EN_PF_YearY!L50&lt;&gt;"",  OR($D$20="Year 2", $J$14 =2)), AND(OR(EN_PF_YearY!$J$14= 2, EN_PF_YearY!$D$20="Year 2"), EN_PF_YearY!L50&lt;&gt;"",  OR($D$20="Year 3", $J$14 =3)))), _xlfn.CONCAT("Validated old score = ",EN_PF_YearY!L50,"               Validated new score = ",L50), AND(OR($D$20&lt;&gt;"",$J$14&lt;&gt;""),AND($D$20&lt;&gt;"Year 1",$J$14&lt;&gt;1),L50="", H50&lt;&gt;"", OR(AND(OR(EN_PF_YearZ!$J$14= 1, EN_PF_YearZ!$D$20="Year 1"), EN_PF_YearZ!L50&lt;&gt;"",  OR($D$20="Year 2", $J$14 =2)), AND(OR(EN_PF_YearZ!$J$14= 2, EN_PF_YearZ!$D$20="Year 2"), EN_PF_YearZ!L50&lt;&gt;"",  OR($D$20="Year 3", $J$14 =3)))), _xlfn.CONCAT("Validated old score = ",EN_PF_YearZ!L50,"               Validated new score = ",L50),AND(L50&lt;&gt;"",$D$14="Yes",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",EN_PF_QualitativeBaseline!$I$28,"               Validated new score = ",L50), AND(OR($D$14="No", $D$14="", EN_PF_QualitativeBaseline!$I$28=""),OR($D$20="Year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1</v>
      </c>
      <c r="L50" s="74"/>
      <c r="M50" s="55"/>
      <c r="N50" s="17"/>
      <c r="O50" s="17"/>
      <c r="P50" s="17"/>
    </row>
    <row r="51" spans="1:16" ht="110.1" customHeight="1" x14ac:dyDescent="0.2">
      <c r="A51" s="17"/>
      <c r="B51" s="335"/>
      <c r="C51" s="407" t="s">
        <v>681</v>
      </c>
      <c r="D51" s="341" t="s">
        <v>658</v>
      </c>
      <c r="E51" s="341"/>
      <c r="F51" s="341"/>
      <c r="G51" s="80" t="s">
        <v>752</v>
      </c>
      <c r="H51" s="73" t="str" cm="1">
        <f t="array" ref="H51">_xlfn.IFS(G51=EN_PF_DROPDOWN!O20,"3",G51=EN_PF_DROPDOWN!O21,"2",G51=EN_PF_DROPDOWN!O22,"1",G51=EN_PF_DROPDOWN!O23,"0",G51="","")</f>
        <v>2</v>
      </c>
      <c r="I51" s="55"/>
      <c r="J51" s="62" t="str" cm="1">
        <f t="array" ref="J51">_xlfn.IFS(G51=EN_PF_DROPDOWN!O20,EN_PF_DROPDOWN!Q20,G51=EN_PF_DROPDOWN!O21,EN_PF_DROPDOWN!Q21,G51=EN_PF_DROPDOWN!O22,EN_PF_DROPDOWN!Q22,G51=EN_PF_DROPDOWN!O23,EN_PF_DROPDOWN!Q23,G51="","")</f>
        <v>Secretariat performance management form
Report of CM Secretariat activities
CM members endorsement of budget and use of funds</v>
      </c>
      <c r="K51" s="78" t="str" cm="1">
        <f t="array" ref="K51">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OR(AND(H51="", L51=""), AND($D$20="",$J$14=""), AND(L51="", H51&lt;&gt;"",$D$14="Yes",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1",$J$14&lt;&gt;1),H51&lt;&gt;"", OR(AND(OR(EN_PF_YearY!$J$14= 1, EN_PF_YearY!$D$20="Year 1"), EN_PF_YearY!L51="",  OR($D$20="Year 2", $J$14 =2)), AND(OR(EN_PF_YearY!$J$14= 2, EN_PF_YearY!$D$20="Year 2"), EN_PF_YearY!L51="",  OR($D$20="Year 3", $J$14 =3)))), AND(OR($D$20&lt;&gt;"",$J$14&lt;&gt;""),AND($D$20&lt;&gt;"Year 1",$J$14&lt;&gt;1),L51="", H51&lt;&gt;"", OR(AND(OR(EN_PF_YearZ!$J$14= 1, EN_PF_YearZ!$D$20="Year 1"), EN_PF_YearZ!L51="",  OR($D$20="Year 2", $J$14 =2)), AND(OR(EN_PF_YearZ!$J$14= 2, EN_PF_YearZ!$D$20="Year 2"), EN_PF_YearZ!L51="",  OR($D$20="Year 3", $J$14 =3)))))), "", AND(L51="", H51&lt;&gt;"",$D$14="Yes",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",EN_PF_QualitativeBaseline!$I$29,"     Preliminary score = ",H51), AND(OR($D$20&lt;&gt;"",$J$14&lt;&gt;""),AND($D$20&lt;&gt;"Year 1",$J$14&lt;&gt;1),L51="", H51&lt;&gt;"", OR(AND(OR(EN_PF_YearY!$J$14= 1, EN_PF_YearY!$D$20="Year 1"), EN_PF_YearY!L51&lt;&gt;"",  OR($D$20="Year 2", $J$14 =2)), AND(OR(EN_PF_YearY!$J$14= 2, EN_PF_YearY!$D$20="Year 2"), EN_PF_YearY!L51&lt;&gt;"",  OR($D$20="Year 3", $J$14 =3)))), _xlfn.CONCAT("Validated old score = ",EN_PF_YearY!L51,"          Preliminary score = ",H51), AND(OR($D$20&lt;&gt;"",$J$14&lt;&gt;""),AND($D$20&lt;&gt;"Year 1",$J$14&lt;&gt;1),L51="", H51&lt;&gt;"", OR(AND(OR(EN_PF_YearZ!$J$14= 1, EN_PF_YearZ!$D$20="Year 1"), EN_PF_YearZ!L51&lt;&gt;"",  OR($D$20="Year 2", $J$14 =2)), AND(OR(EN_PF_YearZ!$J$14= 2, EN_PF_YearZ!$D$20="Year 2"), EN_PF_YearZ!L51&lt;&gt;"",  OR($D$20="Year 3", $J$14 =3)))), _xlfn.CONCAT("Validated old score = ",EN_PF_YearZ!L51,"          Preliminary score = ",H51), AND(OR($D$20&lt;&gt;"",$J$14&lt;&gt;""),AND($D$20&lt;&gt;"Year 1",$J$14&lt;&gt;1),L51&lt;&gt;"", OR(AND(OR(EN_PF_YearY!$J$14= 1, EN_PF_YearY!$D$20="Year 1"), EN_PF_YearY!L51&lt;&gt;"",  OR($D$20="Year 2", $J$14 =2)), AND(OR(EN_PF_YearY!$J$14= 2, EN_PF_YearY!$D$20="Year 2"), EN_PF_YearY!L51&lt;&gt;"",  OR($D$20="Year 3", $J$14 =3)))), _xlfn.CONCAT("Validated old score = ",EN_PF_YearY!L51,"               Validated new score = ",L51), AND(OR($D$20&lt;&gt;"",$J$14&lt;&gt;""),AND($D$20&lt;&gt;"Year 1",$J$14&lt;&gt;1),L51="", H51&lt;&gt;"", OR(AND(OR(EN_PF_YearZ!$J$14= 1, EN_PF_YearZ!$D$20="Year 1"), EN_PF_YearZ!L51&lt;&gt;"",  OR($D$20="Year 2", $J$14 =2)), AND(OR(EN_PF_YearZ!$J$14= 2, EN_PF_YearZ!$D$20="Year 2"), EN_PF_YearZ!L51&lt;&gt;"",  OR($D$20="Year 3", $J$14 =3)))), _xlfn.CONCAT("Validated old score = ",EN_PF_YearZ!L51,"               Validated new score = ",L51),AND(L51&lt;&gt;"",$D$14="Yes",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",EN_PF_QualitativeBaseline!$I$29,"               Validated new score = ",L51), AND(OR($D$14="No", $D$14="", EN_PF_QualitativeBaseline!$I$29=""),OR($D$20="Year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51" s="74"/>
      <c r="M51" s="55"/>
      <c r="N51" s="17"/>
      <c r="O51" s="17"/>
      <c r="P51" s="17"/>
    </row>
    <row r="52" spans="1:16" ht="110.1" customHeight="1" x14ac:dyDescent="0.2">
      <c r="A52" s="17"/>
      <c r="B52" s="335"/>
      <c r="C52" s="408"/>
      <c r="D52" s="341" t="s">
        <v>660</v>
      </c>
      <c r="E52" s="341"/>
      <c r="F52" s="341"/>
      <c r="G52" s="80" t="s">
        <v>581</v>
      </c>
      <c r="H52" s="73" t="str" cm="1">
        <f t="array" ref="H52">_xlfn.IFS(G52=EN_PF_DROPDOWN!O26,"3",G52=EN_PF_DROPDOWN!O27,"2",G52=EN_PF_DROPDOWN!O28,"1",G52=EN_PF_DROPDOWN!O29,"0",G52="","")</f>
        <v>1</v>
      </c>
      <c r="I52" s="55" t="s">
        <v>753</v>
      </c>
      <c r="J52" s="62" t="str" cm="1">
        <f t="array" ref="J52">_xlfn.IFS(G52=EN_PF_DROPDOWN!O26,EN_PF_DROPDOWN!Q26,G52=EN_PF_DROPDOWN!O27,EN_PF_DROPDOWN!Q27,G52=EN_PF_DROPDOWN!O28,EN_PF_DROPDOWN!Q28,G52=EN_PF_DROPDOWN!O29,EN_PF_DROPDOWN!Q29,G52="","")</f>
        <v>Secretariat Evaluation report
Secretariat performance management form
Meeting minutes with the validation of Secretariat's performance
Annual performance objectives and corrective actions, improvement plans for staff members
Country Team Assessment (if available)</v>
      </c>
      <c r="K52" s="78" t="str" cm="1">
        <f t="array" ref="K52">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OR(AND(H52="", L52=""), AND($D$20="",$J$14=""), AND(L52="", H52&lt;&gt;"",$D$14="Yes",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1",$J$14&lt;&gt;1),H52&lt;&gt;"", OR(AND(OR(EN_PF_YearY!$J$14= 1, EN_PF_YearY!$D$20="Year 1"), EN_PF_YearY!L52="",  OR($D$20="Year 2", $J$14 =2)), AND(OR(EN_PF_YearY!$J$14= 2, EN_PF_YearY!$D$20="Year 2"), EN_PF_YearY!L52="",  OR($D$20="Year 3", $J$14 =3)))), AND(OR($D$20&lt;&gt;"",$J$14&lt;&gt;""),AND($D$20&lt;&gt;"Year 1",$J$14&lt;&gt;1),L52="", H52&lt;&gt;"", OR(AND(OR(EN_PF_YearZ!$J$14= 1, EN_PF_YearZ!$D$20="Year 1"), EN_PF_YearZ!L52="",  OR($D$20="Year 2", $J$14 =2)), AND(OR(EN_PF_YearZ!$J$14= 2, EN_PF_YearZ!$D$20="Year 2"), EN_PF_YearZ!L52="",  OR($D$20="Year 3", $J$14 =3)))))), "", AND(L52="", H52&lt;&gt;"",$D$14="Yes",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",EN_PF_QualitativeBaseline!$I$29,"     Preliminary score = ",H52), AND(OR($D$20&lt;&gt;"",$J$14&lt;&gt;""),AND($D$20&lt;&gt;"Year 1",$J$14&lt;&gt;1),L52="", H52&lt;&gt;"", OR(AND(OR(EN_PF_YearY!$J$14= 1, EN_PF_YearY!$D$20="Year 1"), EN_PF_YearY!L52&lt;&gt;"",  OR($D$20="Year 2", $J$14 =2)), AND(OR(EN_PF_YearY!$J$14= 2, EN_PF_YearY!$D$20="Year 2"), EN_PF_YearY!L52&lt;&gt;"",  OR($D$20="Year 3", $J$14 =3)))), _xlfn.CONCAT("Validated old score = ",EN_PF_YearY!L52,"          Preliminary score = ",H52), AND(OR($D$20&lt;&gt;"",$J$14&lt;&gt;""),AND($D$20&lt;&gt;"Year 1",$J$14&lt;&gt;1),L52="", H52&lt;&gt;"", OR(AND(OR(EN_PF_YearZ!$J$14= 1, EN_PF_YearZ!$D$20="Year 1"), EN_PF_YearZ!L52&lt;&gt;"",  OR($D$20="Year 2", $J$14 =2)), AND(OR(EN_PF_YearZ!$J$14= 2, EN_PF_YearZ!$D$20="Year 2"), EN_PF_YearZ!L52&lt;&gt;"",  OR($D$20="Year 3", $J$14 =3)))), _xlfn.CONCAT("Validated old score = ",EN_PF_YearZ!L52,"          Preliminary score = ",H52), AND(OR($D$20&lt;&gt;"",$J$14&lt;&gt;""),AND($D$20&lt;&gt;"Year 1",$J$14&lt;&gt;1),L52&lt;&gt;"", OR(AND(OR(EN_PF_YearY!$J$14= 1, EN_PF_YearY!$D$20="Year 1"), EN_PF_YearY!L52&lt;&gt;"",  OR($D$20="Year 2", $J$14 =2)), AND(OR(EN_PF_YearY!$J$14= 2, EN_PF_YearY!$D$20="Year 2"), EN_PF_YearY!L52&lt;&gt;"",  OR($D$20="Year 3", $J$14 =3)))), _xlfn.CONCAT("Validated old score = ",EN_PF_YearY!L52,"               Validated new score = ",L52), AND(OR($D$20&lt;&gt;"",$J$14&lt;&gt;""),AND($D$20&lt;&gt;"Year 1",$J$14&lt;&gt;1),L52="", H52&lt;&gt;"", OR(AND(OR(EN_PF_YearZ!$J$14= 1, EN_PF_YearZ!$D$20="Year 1"), EN_PF_YearZ!L52&lt;&gt;"",  OR($D$20="Year 2", $J$14 =2)), AND(OR(EN_PF_YearZ!$J$14= 2, EN_PF_YearZ!$D$20="Year 2"), EN_PF_YearZ!L52&lt;&gt;"",  OR($D$20="Year 3", $J$14 =3)))), _xlfn.CONCAT("Validated old score = ",EN_PF_YearZ!L52,"               Validated new score = ",L52),AND(L52&lt;&gt;"",$D$14="Yes",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",EN_PF_QualitativeBaseline!$I$29,"               Validated new score = ",L52), AND(OR($D$14="No", $D$14="", EN_PF_QualitativeBaseline!$I$29=""),OR($D$20="Year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1</v>
      </c>
      <c r="L52" s="74"/>
      <c r="M52" s="55"/>
      <c r="N52" s="17"/>
      <c r="O52" s="17"/>
      <c r="P52" s="17"/>
    </row>
    <row r="53" spans="1:16" ht="110.1" customHeight="1" x14ac:dyDescent="0.2">
      <c r="A53" s="17"/>
      <c r="B53" s="335"/>
      <c r="C53" s="409"/>
      <c r="D53" s="341" t="s">
        <v>659</v>
      </c>
      <c r="E53" s="341"/>
      <c r="F53" s="341"/>
      <c r="G53" s="80" t="s">
        <v>585</v>
      </c>
      <c r="H53" s="73" t="str" cm="1">
        <f t="array" ref="H53">_xlfn.IFS(G53=EN_PF_DROPDOWN!O32,"3",G53=EN_PF_DROPDOWN!O33,"2",G53=EN_PF_DROPDOWN!O34,"1",G53=EN_PF_DROPDOWN!O35,"0",G53="","")</f>
        <v>2</v>
      </c>
      <c r="I53" s="55"/>
      <c r="J53" s="62" t="str" cm="1">
        <f t="array" ref="J53">_xlfn.IFS(G53=EN_PF_DROPDOWN!O32,EN_PF_DROPDOWN!Q32,G53=EN_PF_DROPDOWN!O33,EN_PF_DROPDOWN!Q33,G53=EN_PF_DROPDOWN!O34,EN_PF_DROPDOWN!Q34,G53=EN_PF_DROPDOWN!O35,EN_PF_DROPDOWN!Q35,G53="","")</f>
        <v>LFA / Audit of CM expenses
CM funding documents
Compliance with the allocation of 15% of the annual budget to CS activities
Meeting minutes on results CM and Secretariat activities
Justification for under-absorption</v>
      </c>
      <c r="K53" s="78" t="str" cm="1">
        <f t="array" ref="K53">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OR(AND(H53="", L53=""), AND($D$20="",$J$14=""), AND(L53="", H53&lt;&gt;"",$D$14="Yes",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1",$J$14&lt;&gt;1),H53&lt;&gt;"", OR(AND(OR(EN_PF_YearY!$J$14= 1, EN_PF_YearY!$D$20="Year 1"), EN_PF_YearY!L53="",  OR($D$20="Year 2", $J$14 =2)), AND(OR(EN_PF_YearY!$J$14= 2, EN_PF_YearY!$D$20="Year 2"), EN_PF_YearY!L53="",  OR($D$20="Year 3", $J$14 =3)))), AND(OR($D$20&lt;&gt;"",$J$14&lt;&gt;""),AND($D$20&lt;&gt;"Year 1",$J$14&lt;&gt;1),L53="", H53&lt;&gt;"", OR(AND(OR(EN_PF_YearZ!$J$14= 1, EN_PF_YearZ!$D$20="Year 1"), EN_PF_YearZ!L53="",  OR($D$20="Year 2", $J$14 =2)), AND(OR(EN_PF_YearZ!$J$14= 2, EN_PF_YearZ!$D$20="Year 2"), EN_PF_YearZ!L53="",  OR($D$20="Year 3", $J$14 =3)))))), "", AND(L53="", H53&lt;&gt;"",$D$14="Yes",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",EN_PF_QualitativeBaseline!$I$29,"     Preliminary score = ",H53), AND(OR($D$20&lt;&gt;"",$J$14&lt;&gt;""),AND($D$20&lt;&gt;"Year 1",$J$14&lt;&gt;1),L53="", H53&lt;&gt;"", OR(AND(OR(EN_PF_YearY!$J$14= 1, EN_PF_YearY!$D$20="Year 1"), EN_PF_YearY!L53&lt;&gt;"",  OR($D$20="Year 2", $J$14 =2)), AND(OR(EN_PF_YearY!$J$14= 2, EN_PF_YearY!$D$20="Year 2"), EN_PF_YearY!L53&lt;&gt;"",  OR($D$20="Year 3", $J$14 =3)))), _xlfn.CONCAT("Validated old score = ",EN_PF_YearY!L53,"          Preliminary score = ",H53), AND(OR($D$20&lt;&gt;"",$J$14&lt;&gt;""),AND($D$20&lt;&gt;"Year 1",$J$14&lt;&gt;1),L53="", H53&lt;&gt;"", OR(AND(OR(EN_PF_YearZ!$J$14= 1, EN_PF_YearZ!$D$20="Year 1"), EN_PF_YearZ!L53&lt;&gt;"",  OR($D$20="Year 2", $J$14 =2)), AND(OR(EN_PF_YearZ!$J$14= 2, EN_PF_YearZ!$D$20="Year 2"), EN_PF_YearZ!L53&lt;&gt;"",  OR($D$20="Year 3", $J$14 =3)))), _xlfn.CONCAT("Validated old score = ",EN_PF_YearZ!L53,"          Preliminary score = ",H53), AND(OR($D$20&lt;&gt;"",$J$14&lt;&gt;""),AND($D$20&lt;&gt;"Year 1",$J$14&lt;&gt;1),L53&lt;&gt;"", OR(AND(OR(EN_PF_YearY!$J$14= 1, EN_PF_YearY!$D$20="Year 1"), EN_PF_YearY!L53&lt;&gt;"",  OR($D$20="Year 2", $J$14 =2)), AND(OR(EN_PF_YearY!$J$14= 2, EN_PF_YearY!$D$20="Year 2"), EN_PF_YearY!L53&lt;&gt;"",  OR($D$20="Year 3", $J$14 =3)))), _xlfn.CONCAT("Validated old score = ",EN_PF_YearY!L53,"               Validated new score = ",L53), AND(OR($D$20&lt;&gt;"",$J$14&lt;&gt;""),AND($D$20&lt;&gt;"Year 1",$J$14&lt;&gt;1),L53="", H53&lt;&gt;"", OR(AND(OR(EN_PF_YearZ!$J$14= 1, EN_PF_YearZ!$D$20="Year 1"), EN_PF_YearZ!L53&lt;&gt;"",  OR($D$20="Year 2", $J$14 =2)), AND(OR(EN_PF_YearZ!$J$14= 2, EN_PF_YearZ!$D$20="Year 2"), EN_PF_YearZ!L53&lt;&gt;"",  OR($D$20="Year 3", $J$14 =3)))), _xlfn.CONCAT("Validated old score = ",EN_PF_YearZ!L53,"               Validated new score = ",L53),AND(L53&lt;&gt;"",$D$14="Yes",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",EN_PF_QualitativeBaseline!$I$29,"               Validated new score = ",L53), AND(OR($D$14="No", $D$14="", EN_PF_QualitativeBaseline!$I$29=""),OR($D$20="Year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2</v>
      </c>
      <c r="L53" s="74"/>
      <c r="M53" s="55"/>
      <c r="N53" s="17"/>
      <c r="O53" s="17"/>
      <c r="P53" s="17"/>
    </row>
    <row r="54" spans="1:16" ht="110.1" customHeight="1" x14ac:dyDescent="0.2">
      <c r="A54" s="17"/>
      <c r="B54" s="335"/>
      <c r="C54" s="407" t="s">
        <v>187</v>
      </c>
      <c r="D54" s="341" t="s">
        <v>656</v>
      </c>
      <c r="E54" s="341"/>
      <c r="F54" s="341"/>
      <c r="G54" s="80" t="s">
        <v>588</v>
      </c>
      <c r="H54" s="73" t="str" cm="1">
        <f t="array" ref="H54">_xlfn.IFS(G54=EN_PF_DROPDOWN!O38,"3",G54=EN_PF_DROPDOWN!O39,"1",G54=EN_PF_DROPDOWN!O40,"0",G54="","")</f>
        <v>1</v>
      </c>
      <c r="I54" s="55" t="s">
        <v>754</v>
      </c>
      <c r="J54" s="62" t="str" cm="1">
        <f t="array" ref="J54">_xlfn.IFS(G54=EN_PF_DROPDOWN!O38,EN_PF_DROPDOWN!Q38,G54=EN_PF_DROPDOWN!O39,EN_PF_DROPDOWN!Q39,G54=EN_PF_DROPDOWN!O40,EN_PF_DROPDOWN!Q40,G54="","")</f>
        <v>Meeting Minutes of the orientation session
Participants List
Orientation material
Completion list of online trainings</v>
      </c>
      <c r="K54" s="78" t="str" cm="1">
        <f t="array" ref="K54">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OR(AND(H54="", L54=""), AND($D$20="",$J$14=""), AND(L54="", H54&lt;&gt;"",$D$14="Yes",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1",$J$14&lt;&gt;1),H54&lt;&gt;"", OR(AND(OR(EN_PF_YearY!$J$14= 1, EN_PF_YearY!$D$20="Year 1"), EN_PF_YearY!L54="",  OR($D$20="Year 2", $J$14 =2)), AND(OR(EN_PF_YearY!$J$14= 2, EN_PF_YearY!$D$20="Year 2"), EN_PF_YearY!L54="",  OR($D$20="Year 3", $J$14 =3)))), AND(OR($D$20&lt;&gt;"",$J$14&lt;&gt;""),AND($D$20&lt;&gt;"Year 1",$J$14&lt;&gt;1),L54="", H54&lt;&gt;"", OR(AND(OR(EN_PF_YearZ!$J$14= 1, EN_PF_YearZ!$D$20="Year 1"), EN_PF_YearZ!L54="",  OR($D$20="Year 2", $J$14 =2)), AND(OR(EN_PF_YearZ!$J$14= 2, EN_PF_YearZ!$D$20="Year 2"), EN_PF_YearZ!L54="",  OR($D$20="Year 3", $J$14 =3)))))), "", AND(L54="", H54&lt;&gt;"",$D$14="Yes",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",EN_PF_QualitativeBaseline!$I$30,"     Preliminary score = ",H54), AND(OR($D$20&lt;&gt;"",$J$14&lt;&gt;""),AND($D$20&lt;&gt;"Year 1",$J$14&lt;&gt;1),L54="", H54&lt;&gt;"", OR(AND(OR(EN_PF_YearY!$J$14= 1, EN_PF_YearY!$D$20="Year 1"), EN_PF_YearY!L54&lt;&gt;"",  OR($D$20="Year 2", $J$14 =2)), AND(OR(EN_PF_YearY!$J$14= 2, EN_PF_YearY!$D$20="Year 2"), EN_PF_YearY!L54&lt;&gt;"",  OR($D$20="Year 3", $J$14 =3)))), _xlfn.CONCAT("Validated old score = ",EN_PF_YearY!L54,"          Preliminary score = ",H54), AND(OR($D$20&lt;&gt;"",$J$14&lt;&gt;""),AND($D$20&lt;&gt;"Year 1",$J$14&lt;&gt;1),L54="", H54&lt;&gt;"", OR(AND(OR(EN_PF_YearZ!$J$14= 1, EN_PF_YearZ!$D$20="Year 1"), EN_PF_YearZ!L54&lt;&gt;"",  OR($D$20="Year 2", $J$14 =2)), AND(OR(EN_PF_YearZ!$J$14= 2, EN_PF_YearZ!$D$20="Year 2"), EN_PF_YearZ!L54&lt;&gt;"",  OR($D$20="Year 3", $J$14 =3)))), _xlfn.CONCAT("Validated old score = ",EN_PF_YearZ!L54,"          Preliminary score = ",H54), AND(OR($D$20&lt;&gt;"",$J$14&lt;&gt;""),AND($D$20&lt;&gt;"Year 1",$J$14&lt;&gt;1),L54&lt;&gt;"", OR(AND(OR(EN_PF_YearY!$J$14= 1, EN_PF_YearY!$D$20="Year 1"), EN_PF_YearY!L54&lt;&gt;"",  OR($D$20="Year 2", $J$14 =2)), AND(OR(EN_PF_YearY!$J$14= 2, EN_PF_YearY!$D$20="Year 2"), EN_PF_YearY!L54&lt;&gt;"",  OR($D$20="Year 3", $J$14 =3)))), _xlfn.CONCAT("Validated old score = ",EN_PF_YearY!L54,"               Validated new score = ",L54), AND(OR($D$20&lt;&gt;"",$J$14&lt;&gt;""),AND($D$20&lt;&gt;"Year 1",$J$14&lt;&gt;1),L54="", H54&lt;&gt;"", OR(AND(OR(EN_PF_YearZ!$J$14= 1, EN_PF_YearZ!$D$20="Year 1"), EN_PF_YearZ!L54&lt;&gt;"",  OR($D$20="Year 2", $J$14 =2)), AND(OR(EN_PF_YearZ!$J$14= 2, EN_PF_YearZ!$D$20="Year 2"), EN_PF_YearZ!L54&lt;&gt;"",  OR($D$20="Year 3", $J$14 =3)))), _xlfn.CONCAT("Validated old score = ",EN_PF_YearZ!L54,"               Validated new score = ",L54),AND(L54&lt;&gt;"",$D$14="Yes",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",EN_PF_QualitativeBaseline!$I$30,"               Validated new score = ",L54), AND(OR($D$14="No", $D$14="", EN_PF_QualitativeBaseline!$I$30=""),OR($D$20="Year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1</v>
      </c>
      <c r="L54" s="74"/>
      <c r="M54" s="55"/>
      <c r="N54" s="17"/>
      <c r="O54" s="17"/>
      <c r="P54" s="17"/>
    </row>
    <row r="55" spans="1:16" ht="110.1" customHeight="1" x14ac:dyDescent="0.2">
      <c r="A55" s="17"/>
      <c r="B55" s="335"/>
      <c r="C55" s="409"/>
      <c r="D55" s="341" t="s">
        <v>655</v>
      </c>
      <c r="E55" s="341"/>
      <c r="F55" s="341"/>
      <c r="G55" s="80" t="s">
        <v>591</v>
      </c>
      <c r="H55" s="73" t="str" cm="1">
        <f t="array" ref="H55">_xlfn.IFS(G55=EN_PF_DROPDOWN!O43,"3",G55=EN_PF_DROPDOWN!O44,"1",G55=EN_PF_DROPDOWN!O45,"0",G55="","")</f>
        <v>1</v>
      </c>
      <c r="I55" s="55" t="s">
        <v>755</v>
      </c>
      <c r="J55" s="62" t="str" cm="1">
        <f t="array" ref="J55">_xlfn.IFS(G55=EN_PF_DROPDOWN!O43,EN_PF_DROPDOWN!Q43,G55=EN_PF_DROPDOWN!O44,EN_PF_DROPDOWN!Q44,G55=EN_PF_DROPDOWN!O45,EN_PF_DROPDOWN!Q45,G55="","")</f>
        <v>Governance manuals
Meeting minutes with approval of governance documents</v>
      </c>
      <c r="K55" s="78" t="str" cm="1">
        <f t="array" ref="K55">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OR(AND(H55="", L55=""), AND($D$20="",$J$14=""), AND(L55="", H55&lt;&gt;"",$D$14="Yes",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1",$J$14&lt;&gt;1),H55&lt;&gt;"", OR(AND(OR(EN_PF_YearY!$J$14= 1, EN_PF_YearY!$D$20="Year 1"), EN_PF_YearY!L55="",  OR($D$20="Year 2", $J$14 =2)), AND(OR(EN_PF_YearY!$J$14= 2, EN_PF_YearY!$D$20="Year 2"), EN_PF_YearY!L55="",  OR($D$20="Year 3", $J$14 =3)))), AND(OR($D$20&lt;&gt;"",$J$14&lt;&gt;""),AND($D$20&lt;&gt;"Year 1",$J$14&lt;&gt;1),L55="", H55&lt;&gt;"", OR(AND(OR(EN_PF_YearZ!$J$14= 1, EN_PF_YearZ!$D$20="Year 1"), EN_PF_YearZ!L55="",  OR($D$20="Year 2", $J$14 =2)), AND(OR(EN_PF_YearZ!$J$14= 2, EN_PF_YearZ!$D$20="Year 2"), EN_PF_YearZ!L55="",  OR($D$20="Year 3", $J$14 =3)))))), "", AND(L55="", H55&lt;&gt;"",$D$14="Yes",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",EN_PF_QualitativeBaseline!$I$30,"     Preliminary score = ",H55), AND(OR($D$20&lt;&gt;"",$J$14&lt;&gt;""),AND($D$20&lt;&gt;"Year 1",$J$14&lt;&gt;1),L55="", H55&lt;&gt;"", OR(AND(OR(EN_PF_YearY!$J$14= 1, EN_PF_YearY!$D$20="Year 1"), EN_PF_YearY!L55&lt;&gt;"",  OR($D$20="Year 2", $J$14 =2)), AND(OR(EN_PF_YearY!$J$14= 2, EN_PF_YearY!$D$20="Year 2"), EN_PF_YearY!L55&lt;&gt;"",  OR($D$20="Year 3", $J$14 =3)))), _xlfn.CONCAT("Validated old score = ",EN_PF_YearY!L55,"          Preliminary score = ",H55), AND(OR($D$20&lt;&gt;"",$J$14&lt;&gt;""),AND($D$20&lt;&gt;"Year 1",$J$14&lt;&gt;1),L55="", H55&lt;&gt;"", OR(AND(OR(EN_PF_YearZ!$J$14= 1, EN_PF_YearZ!$D$20="Year 1"), EN_PF_YearZ!L55&lt;&gt;"",  OR($D$20="Year 2", $J$14 =2)), AND(OR(EN_PF_YearZ!$J$14= 2, EN_PF_YearZ!$D$20="Year 2"), EN_PF_YearZ!L55&lt;&gt;"",  OR($D$20="Year 3", $J$14 =3)))), _xlfn.CONCAT("Validated old score = ",EN_PF_YearZ!L55,"          Preliminary score = ",H55), AND(OR($D$20&lt;&gt;"",$J$14&lt;&gt;""),AND($D$20&lt;&gt;"Year 1",$J$14&lt;&gt;1),L55&lt;&gt;"", OR(AND(OR(EN_PF_YearY!$J$14= 1, EN_PF_YearY!$D$20="Year 1"), EN_PF_YearY!L55&lt;&gt;"",  OR($D$20="Year 2", $J$14 =2)), AND(OR(EN_PF_YearY!$J$14= 2, EN_PF_YearY!$D$20="Year 2"), EN_PF_YearY!L55&lt;&gt;"",  OR($D$20="Year 3", $J$14 =3)))), _xlfn.CONCAT("Validated old score = ",EN_PF_YearY!L55,"               Validated new score = ",L55), AND(OR($D$20&lt;&gt;"",$J$14&lt;&gt;""),AND($D$20&lt;&gt;"Year 1",$J$14&lt;&gt;1),L55="", H55&lt;&gt;"", OR(AND(OR(EN_PF_YearZ!$J$14= 1, EN_PF_YearZ!$D$20="Year 1"), EN_PF_YearZ!L55&lt;&gt;"",  OR($D$20="Year 2", $J$14 =2)), AND(OR(EN_PF_YearZ!$J$14= 2, EN_PF_YearZ!$D$20="Year 2"), EN_PF_YearZ!L55&lt;&gt;"",  OR($D$20="Year 3", $J$14 =3)))), _xlfn.CONCAT("Validated old score = ",EN_PF_YearZ!L55,"               Validated new score = ",L55),AND(L55&lt;&gt;"",$D$14="Yes",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",EN_PF_QualitativeBaseline!$I$30,"               Validated new score = ",L55), AND(OR($D$14="No", $D$14="", EN_PF_QualitativeBaseline!$I$30=""),OR($D$20="Year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2     Preliminary score = 1</v>
      </c>
      <c r="L55" s="74"/>
      <c r="M55" s="55"/>
      <c r="N55" s="17"/>
      <c r="O55" s="17"/>
      <c r="P55" s="17"/>
    </row>
    <row r="56" spans="1:16" ht="110.1" customHeight="1" x14ac:dyDescent="0.2">
      <c r="A56" s="17"/>
      <c r="B56" s="336"/>
      <c r="C56" s="47" t="s">
        <v>188</v>
      </c>
      <c r="D56" s="341" t="s">
        <v>657</v>
      </c>
      <c r="E56" s="341"/>
      <c r="F56" s="341"/>
      <c r="G56" s="80" t="s">
        <v>593</v>
      </c>
      <c r="H56" s="73" t="str" cm="1">
        <f t="array" ref="H56">_xlfn.IFS(G56=EN_PF_DROPDOWN!O48,"2",G56=EN_PF_DROPDOWN!O49,"1",G56=EN_PF_DROPDOWN!O50,"0",G56="","")</f>
        <v>2</v>
      </c>
      <c r="I56" s="55"/>
      <c r="J56" s="62" t="str" cm="1">
        <f t="array" ref="J56">_xlfn.IFS(G56=EN_PF_DROPDOWN!O48,EN_PF_DROPDOWN!Q48,G56=EN_PF_DROPDOWN!O49,EN_PF_DROPDOWN!Q49,G56=EN_PF_DROPDOWN!O50,EN_PF_DROPDOWN!Q50,G56="","")</f>
        <v>Assemblies' agendas
technical committees meeting minutes
Assemblies minutes which highlight discussion of constituency priorities</v>
      </c>
      <c r="K56" s="78" t="str" cm="1">
        <f t="array" ref="K56">_xlfn.IFS(OR(OR(AND($D20&lt;&gt;"", EN_PF_YearY!$D$20&lt;&gt;"", $D$20=EN_PF_YearY!$D$20), AND($D$20&lt;&gt;"",  EN_PF_YearZ!$D$20&lt;&gt;"", $D$20=EN_PF_YearZ!$D$20), AND(EN_PF_YearY!$D$20&lt;&gt;"", EN_PF_YearZ!$D$20&lt;&gt;"", EN_PF_YearY!$D$2=EN_PF_YearZ!$D$20), AND($J$14&lt;&gt;"", EN_PF_YearY!$J$14&lt;&gt;"",  $J$14=EN_PF_YearY!$J$14), AND($J$14&lt;&gt;"", EN_PF_YearZ!$J$14&lt;&gt;"", $J$14=EN_PF_YearZ!$J$14), AND(EN_PF_YearY!$J$14&lt;&gt;"", EN_PF_YearZ!$J$14&lt;&gt;"", EN_PF_YearY!$J$14=EN_PF_YearZ!$J$14)), AND(OR($D$20="Year 3",$J$14=3), EN_PF_YearY!$D$20&lt;&gt;"Year 2", EN_PF_YearY!$J$14&lt;&gt;2, EN_PF_YearZ!$D$20&lt;&gt;"Year 2", EN_PF_YearZ!$J$14&lt;&gt;2, OR(EN_PF_YearY!$D$20="Year 1", EN_PF_YearY!$J$14=1, EN_PF_YearZ!$D$20="Year 1", EN_PF_YearZ!$J$14=1)), OR(AND(H56="", L56=""), AND($D$20="",$J$14=""), AND(L56="", H56&lt;&gt;"",$D$14="Yes",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EN_PF_QualitativeBaseline!I16=""), AND(OR($D$20&lt;&gt;"",$J$14&lt;&gt;""),AND($D$20&lt;&gt;"Year 1",$J$14&lt;&gt;1),H56&lt;&gt;"", OR(AND(OR(EN_PF_YearY!$J$14= 1, EN_PF_YearY!$D$20="Year 1"), EN_PF_YearY!L56="",  OR($D$20="Year 2", $J$14 =2)), AND(OR(EN_PF_YearY!$J$14= 2, EN_PF_YearY!$D$20="Year 2"), EN_PF_YearY!L56="",  OR($D$20="Year 3", $J$14 =3)))), AND(OR($D$20&lt;&gt;"",$J$14&lt;&gt;""),AND($D$20&lt;&gt;"Year 1",$J$14&lt;&gt;1),L56="", H56&lt;&gt;"", OR(AND(OR(EN_PF_YearZ!$J$14= 1, EN_PF_YearZ!$D$20="Year 1"), EN_PF_YearZ!L56="",  OR($D$20="Year 2", $J$14 =2)), AND(OR(EN_PF_YearZ!$J$14= 2, EN_PF_YearZ!$D$20="Year 2"), EN_PF_YearZ!L56="",  OR($D$20="Year 3", $J$14 =3)))))), "", AND(L56="", H56&lt;&gt;"",$D$14="Yes",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",EN_PF_QualitativeBaseline!$I$31,"     Preliminary score = ",H56), AND(OR($D$20&lt;&gt;"",$J$14&lt;&gt;""),AND($D$20&lt;&gt;"Year 1",$J$14&lt;&gt;1),L56="", H56&lt;&gt;"", OR(AND(OR(EN_PF_YearY!$J$14= 1, EN_PF_YearY!$D$20="Year 1"), EN_PF_YearY!L56&lt;&gt;"",  OR($D$20="Year 2", $J$14 =2)), AND(OR(EN_PF_YearY!$J$14= 2, EN_PF_YearY!$D$20="Year 2"), EN_PF_YearY!L56&lt;&gt;"",  OR($D$20="Year 3", $J$14 =3)))), _xlfn.CONCAT("Validated old score = ",EN_PF_YearY!L56,"          Preliminary score = ",H56), AND(OR($D$20&lt;&gt;"",$J$14&lt;&gt;""),AND($D$20&lt;&gt;"Year 1",$J$14&lt;&gt;1),L56="", H56&lt;&gt;"", OR(AND(OR(EN_PF_YearZ!$J$14= 1, EN_PF_YearZ!$D$20="Year 1"), EN_PF_YearZ!L56&lt;&gt;"",  OR($D$20="Year 2", $J$14 =2)), AND(OR(EN_PF_YearZ!$J$14= 2, EN_PF_YearZ!$D$20="Year 2"), EN_PF_YearZ!L56&lt;&gt;"",  OR($D$20="Year 3", $J$14 =3)))), _xlfn.CONCAT("Validated old score = ",EN_PF_YearZ!L56,"          Preliminary score = ",H56), AND(OR($D$20&lt;&gt;"",$J$14&lt;&gt;""),AND($D$20&lt;&gt;"Year 1",$J$14&lt;&gt;1),L56&lt;&gt;"", OR(AND(OR(EN_PF_YearY!$J$14= 1, EN_PF_YearY!$D$20="Year 1"), EN_PF_YearY!L56&lt;&gt;"",  OR($D$20="Year 2", $J$14 =2)), AND(OR(EN_PF_YearY!$J$14= 2, EN_PF_YearY!$D$20="Year 2"), EN_PF_YearY!L56&lt;&gt;"",  OR($D$20="Year 3", $J$14 =3)))), _xlfn.CONCAT("Validated old score = ",EN_PF_YearY!L56,"               Validated new score = ",L56), AND(OR($D$20&lt;&gt;"",$J$14&lt;&gt;""),AND($D$20&lt;&gt;"Year 1",$J$14&lt;&gt;1),L56="", H56&lt;&gt;"", OR(AND(OR(EN_PF_YearZ!$J$14= 1, EN_PF_YearZ!$D$20="Year 1"), EN_PF_YearZ!L56&lt;&gt;"",  OR($D$20="Year 2", $J$14 =2)), AND(OR(EN_PF_YearZ!$J$14= 2, EN_PF_YearZ!$D$20="Year 2"), EN_PF_YearZ!L56&lt;&gt;"",  OR($D$20="Year 3", $J$14 =3)))), _xlfn.CONCAT("Validated old score = ",EN_PF_YearZ!L56,"               Validated new score = ",L56),AND(L56&lt;&gt;"",$D$14="Yes", OR($D$20="Year 1",$J$14=1, AND(OR($D$20="Year 2",$J$14=2), EN_PF_YearY!$D$20&lt;&gt;"Year 1", EN_PF_YearY!$D$20&lt;&gt;1, EN_PF_YearZ!$D$20&lt;&gt;"Year 1", EN_PF_YearZ!$D$20&lt;&gt;1),AND(OR($D$20="Year 3",$J$14=3), EN_PF_YearY!$D$20&lt;&gt;"Year 1", EN_PF_YearY!$D$20&lt;&gt;1, EN_PF_YearZ!$D$20&lt;&gt;"Year 1", EN_PF_YearZ!$D$20&lt;&gt;1, EN_PF_YearY!$D$20&lt;&gt;"Year 2", EN_PF_YearY!$D$20&lt;&gt;2, EN_PF_YearZ!$D$20&lt;&gt;"Year 2", EN_PF_YearZ!$D$20&lt;&gt;2))), _xlfn.CONCAT("Baseline objective = ",EN_PF_QualitativeBaseline!$I$31,"               Validated new score = ",L56), AND(OR($D$14="No", $D$14="", EN_PF_QualitativeBaseline!$I$31=""),OR($D$20="Year 1",$J$14=1,AND(OR($D$20="Year 2",$J$14=2),EN_PF_YearY!$D$20&lt;&gt;"Year 1",EN_PF_YearY!$D$20&lt;&gt;1,EN_PF_YearZ!$D$20&lt;&gt;"Year 1",EN_PF_YearZ!$D$20&lt;&gt;1),AND(OR($D$20="Year 3",$J$14=3),EN_PF_YearY!$D$20&lt;&gt;"Year 1",EN_PF_YearY!$D$20&lt;&gt;1,EN_PF_YearZ!$D$20&lt;&gt;"Year 1",EN_PF_YearZ!$D$20&lt;&gt;1,EN_PF_YearY!$D$20&lt;&gt;"Year 2",EN_PF_YearY!$D$20&lt;&gt;2,EN_PF_YearZ!$D$20&lt;&gt;"Year 2",EN_PF_YearZ!$D$20&lt;&gt;2))),"No Baseline available")</f>
        <v>Baseline objective = 3     Preliminary score = 2</v>
      </c>
      <c r="L56" s="74"/>
      <c r="M56" s="55"/>
      <c r="N56" s="17"/>
      <c r="O56" s="17"/>
      <c r="P56" s="17"/>
    </row>
    <row r="57" spans="1:16" x14ac:dyDescent="0.2">
      <c r="A57" s="17"/>
      <c r="B57" s="17"/>
      <c r="C57" s="17"/>
      <c r="D57" s="17"/>
      <c r="E57" s="17"/>
      <c r="F57" s="17"/>
      <c r="G57" s="17"/>
      <c r="H57" s="17"/>
      <c r="I57" s="17"/>
      <c r="J57" s="17"/>
      <c r="K57" s="17"/>
      <c r="L57" s="17"/>
      <c r="M57" s="17"/>
      <c r="N57" s="17"/>
    </row>
    <row r="58" spans="1:16" x14ac:dyDescent="0.2">
      <c r="A58" s="17"/>
      <c r="B58" s="17"/>
      <c r="C58" s="17"/>
      <c r="D58" s="17"/>
      <c r="E58" s="17"/>
      <c r="F58" s="17"/>
      <c r="G58" s="17"/>
      <c r="H58" s="17"/>
      <c r="I58" s="17"/>
      <c r="J58" s="17"/>
      <c r="K58" s="17"/>
      <c r="L58" s="17"/>
      <c r="M58" s="17"/>
      <c r="N58" s="17"/>
    </row>
    <row r="59" spans="1:16" x14ac:dyDescent="0.2">
      <c r="A59" s="17"/>
      <c r="B59" s="17"/>
      <c r="C59" s="17"/>
      <c r="D59" s="17"/>
      <c r="E59" s="17"/>
      <c r="F59" s="17"/>
      <c r="G59" s="17"/>
      <c r="H59" s="17"/>
      <c r="I59" s="17"/>
      <c r="J59" s="17"/>
      <c r="K59" s="17"/>
      <c r="L59" s="17"/>
      <c r="M59" s="17"/>
      <c r="N59" s="17"/>
    </row>
    <row r="60" spans="1:16" x14ac:dyDescent="0.2">
      <c r="A60" s="17"/>
      <c r="B60" s="17"/>
      <c r="C60" s="17"/>
      <c r="D60" s="17"/>
      <c r="E60" s="17"/>
      <c r="F60" s="17"/>
      <c r="G60" s="17"/>
      <c r="H60" s="17"/>
      <c r="I60" s="17"/>
      <c r="J60" s="17"/>
      <c r="K60" s="17"/>
      <c r="L60" s="17"/>
      <c r="M60" s="17"/>
      <c r="N60" s="17"/>
    </row>
    <row r="61" spans="1:16" x14ac:dyDescent="0.2">
      <c r="A61" s="17"/>
      <c r="B61" s="17"/>
      <c r="C61" s="17"/>
      <c r="D61" s="17"/>
      <c r="E61" s="17"/>
      <c r="F61" s="17"/>
      <c r="G61" s="17"/>
      <c r="H61" s="17"/>
      <c r="I61" s="17"/>
      <c r="J61" s="17"/>
      <c r="K61" s="17"/>
      <c r="L61" s="17"/>
      <c r="M61" s="17"/>
      <c r="N61" s="17"/>
    </row>
    <row r="62" spans="1:16" x14ac:dyDescent="0.2">
      <c r="A62" s="17"/>
      <c r="B62" s="17"/>
      <c r="C62" s="17"/>
      <c r="D62" s="17"/>
      <c r="E62" s="17"/>
      <c r="F62" s="17"/>
      <c r="G62" s="17"/>
      <c r="H62" s="17"/>
      <c r="I62" s="17"/>
      <c r="J62" s="17"/>
      <c r="K62" s="17"/>
      <c r="L62" s="17"/>
      <c r="M62" s="17"/>
      <c r="N62" s="17"/>
    </row>
    <row r="63" spans="1:16" x14ac:dyDescent="0.2">
      <c r="A63" s="17"/>
      <c r="B63" s="17"/>
      <c r="C63" s="17"/>
      <c r="D63" s="17"/>
      <c r="E63" s="17"/>
      <c r="F63" s="17"/>
      <c r="G63" s="17"/>
      <c r="H63" s="17"/>
      <c r="I63" s="17"/>
      <c r="J63" s="17"/>
      <c r="K63" s="17"/>
      <c r="L63" s="17"/>
      <c r="M63" s="17"/>
      <c r="N63" s="17"/>
    </row>
    <row r="64" spans="1:16" x14ac:dyDescent="0.2">
      <c r="A64" s="17"/>
      <c r="B64" s="17"/>
      <c r="C64" s="17"/>
      <c r="D64" s="17"/>
      <c r="E64" s="17"/>
      <c r="F64" s="17"/>
      <c r="G64" s="17"/>
      <c r="H64" s="17"/>
      <c r="I64" s="17"/>
      <c r="J64" s="17"/>
      <c r="K64" s="17"/>
      <c r="L64" s="17"/>
      <c r="M64" s="17"/>
      <c r="N64" s="17"/>
    </row>
    <row r="65" spans="1:14" x14ac:dyDescent="0.2">
      <c r="A65" s="17"/>
      <c r="B65" s="17"/>
      <c r="C65" s="17"/>
      <c r="D65" s="17"/>
      <c r="E65" s="17"/>
      <c r="F65" s="17"/>
      <c r="G65" s="17"/>
      <c r="H65" s="17"/>
      <c r="I65" s="17"/>
      <c r="J65" s="17"/>
      <c r="K65" s="17"/>
      <c r="L65" s="17"/>
      <c r="M65" s="17"/>
      <c r="N65" s="17"/>
    </row>
    <row r="66" spans="1:14" x14ac:dyDescent="0.2">
      <c r="A66" s="17"/>
      <c r="B66" s="17"/>
      <c r="C66" s="17"/>
      <c r="D66" s="17"/>
      <c r="E66" s="17"/>
      <c r="F66" s="17"/>
      <c r="G66" s="17"/>
      <c r="H66" s="17"/>
      <c r="I66" s="17"/>
      <c r="J66" s="17"/>
      <c r="K66" s="17"/>
      <c r="L66" s="17"/>
      <c r="M66" s="17"/>
      <c r="N66" s="17"/>
    </row>
    <row r="67" spans="1:14" x14ac:dyDescent="0.2">
      <c r="A67" s="17"/>
      <c r="B67" s="17"/>
      <c r="C67" s="17"/>
      <c r="D67" s="17"/>
      <c r="E67" s="17"/>
      <c r="F67" s="17"/>
      <c r="G67" s="17"/>
      <c r="H67" s="17"/>
      <c r="I67" s="17"/>
      <c r="J67" s="17"/>
      <c r="K67" s="17"/>
      <c r="L67" s="17"/>
      <c r="M67" s="17"/>
      <c r="N67" s="17"/>
    </row>
    <row r="68" spans="1:14" x14ac:dyDescent="0.2">
      <c r="A68" s="17"/>
      <c r="B68" s="17"/>
      <c r="C68" s="17"/>
      <c r="D68" s="17"/>
      <c r="E68" s="17"/>
      <c r="F68" s="17"/>
      <c r="G68" s="17"/>
      <c r="H68" s="17"/>
      <c r="I68" s="17"/>
      <c r="J68" s="17"/>
      <c r="K68" s="17"/>
      <c r="L68" s="17"/>
      <c r="M68" s="17"/>
      <c r="N68" s="17"/>
    </row>
    <row r="69" spans="1:14" x14ac:dyDescent="0.2">
      <c r="A69" s="17"/>
      <c r="B69" s="17"/>
      <c r="C69" s="17"/>
      <c r="D69" s="17"/>
      <c r="E69" s="17"/>
      <c r="F69" s="17"/>
      <c r="G69" s="17"/>
      <c r="H69" s="17"/>
      <c r="I69" s="17"/>
      <c r="J69" s="17"/>
      <c r="K69" s="17"/>
      <c r="L69" s="17"/>
      <c r="M69" s="17"/>
      <c r="N69" s="17"/>
    </row>
    <row r="70" spans="1:14" x14ac:dyDescent="0.2">
      <c r="A70" s="17"/>
      <c r="B70" s="17"/>
      <c r="C70" s="17"/>
      <c r="D70" s="17"/>
      <c r="E70" s="17"/>
      <c r="F70" s="17"/>
      <c r="G70" s="17"/>
      <c r="H70" s="17"/>
      <c r="I70" s="17"/>
      <c r="J70" s="17"/>
      <c r="K70" s="17"/>
      <c r="L70" s="17"/>
      <c r="M70" s="17"/>
      <c r="N70" s="17"/>
    </row>
    <row r="71" spans="1:14" x14ac:dyDescent="0.2">
      <c r="A71" s="17"/>
      <c r="B71" s="17"/>
      <c r="C71" s="17"/>
      <c r="D71" s="17"/>
      <c r="E71" s="17"/>
      <c r="F71" s="17"/>
      <c r="G71" s="17"/>
      <c r="H71" s="17"/>
      <c r="I71" s="17"/>
      <c r="J71" s="17"/>
      <c r="K71" s="17"/>
      <c r="L71" s="17"/>
      <c r="M71" s="17"/>
      <c r="N71" s="17"/>
    </row>
    <row r="72" spans="1:14" x14ac:dyDescent="0.2">
      <c r="A72" s="17"/>
      <c r="B72" s="17"/>
      <c r="C72" s="17"/>
      <c r="D72" s="17"/>
      <c r="E72" s="17"/>
      <c r="F72" s="17"/>
      <c r="G72" s="17"/>
      <c r="H72" s="17"/>
      <c r="I72" s="17"/>
      <c r="J72" s="17"/>
      <c r="K72" s="17"/>
      <c r="L72" s="17"/>
      <c r="M72" s="17"/>
      <c r="N72" s="17"/>
    </row>
    <row r="73" spans="1:14" x14ac:dyDescent="0.2">
      <c r="A73" s="17"/>
      <c r="B73" s="17"/>
      <c r="C73" s="17"/>
      <c r="D73" s="17"/>
      <c r="E73" s="17"/>
      <c r="F73" s="17"/>
      <c r="G73" s="17"/>
      <c r="H73" s="17"/>
      <c r="I73" s="17"/>
      <c r="J73" s="17"/>
      <c r="K73" s="17"/>
      <c r="L73" s="17"/>
      <c r="M73" s="17"/>
      <c r="N73" s="17"/>
    </row>
    <row r="74" spans="1:14" x14ac:dyDescent="0.2">
      <c r="A74" s="17"/>
      <c r="B74" s="17"/>
      <c r="C74" s="17"/>
      <c r="D74" s="17"/>
      <c r="E74" s="17"/>
      <c r="F74" s="17"/>
      <c r="G74" s="17"/>
      <c r="H74" s="17"/>
      <c r="I74" s="17"/>
      <c r="J74" s="17"/>
      <c r="K74" s="17"/>
      <c r="L74" s="17"/>
      <c r="M74" s="17"/>
      <c r="N74" s="17"/>
    </row>
    <row r="75" spans="1:14" x14ac:dyDescent="0.2">
      <c r="A75" s="17"/>
      <c r="B75" s="17"/>
      <c r="C75" s="17"/>
      <c r="D75" s="17"/>
      <c r="E75" s="17"/>
      <c r="F75" s="17"/>
      <c r="G75" s="17"/>
      <c r="H75" s="17"/>
      <c r="I75" s="17"/>
      <c r="J75" s="17"/>
      <c r="K75" s="17"/>
      <c r="L75" s="17"/>
      <c r="M75" s="17"/>
      <c r="N75" s="17"/>
    </row>
    <row r="76" spans="1:14" x14ac:dyDescent="0.2">
      <c r="A76" s="17"/>
      <c r="B76" s="17"/>
      <c r="C76" s="17"/>
      <c r="D76" s="17"/>
      <c r="E76" s="17"/>
      <c r="F76" s="17"/>
      <c r="G76" s="17"/>
      <c r="H76" s="17"/>
      <c r="I76" s="17"/>
      <c r="J76" s="17"/>
      <c r="K76" s="17"/>
      <c r="L76" s="17"/>
      <c r="M76" s="17"/>
      <c r="N76" s="17"/>
    </row>
    <row r="77" spans="1:14" x14ac:dyDescent="0.2">
      <c r="A77" s="17"/>
      <c r="B77" s="17"/>
      <c r="C77" s="17"/>
      <c r="D77" s="17"/>
      <c r="E77" s="17"/>
      <c r="F77" s="17"/>
      <c r="G77" s="17"/>
      <c r="H77" s="17"/>
      <c r="I77" s="17"/>
      <c r="J77" s="17"/>
      <c r="K77" s="17"/>
      <c r="L77" s="17"/>
      <c r="M77" s="17"/>
      <c r="N77" s="17"/>
    </row>
    <row r="78" spans="1:14" x14ac:dyDescent="0.2">
      <c r="A78" s="17"/>
      <c r="B78" s="17"/>
      <c r="C78" s="17"/>
      <c r="D78" s="17"/>
      <c r="E78" s="17"/>
      <c r="F78" s="17"/>
      <c r="G78" s="17"/>
      <c r="H78" s="17"/>
      <c r="I78" s="17"/>
      <c r="J78" s="17"/>
      <c r="K78" s="17"/>
      <c r="L78" s="17"/>
      <c r="M78" s="17"/>
      <c r="N78" s="17"/>
    </row>
    <row r="79" spans="1:14" x14ac:dyDescent="0.2">
      <c r="A79" s="17"/>
      <c r="B79" s="17"/>
      <c r="C79" s="17"/>
      <c r="D79" s="17"/>
      <c r="E79" s="17"/>
      <c r="F79" s="17"/>
      <c r="G79" s="17"/>
      <c r="H79" s="17"/>
      <c r="I79" s="17"/>
      <c r="J79" s="17"/>
      <c r="K79" s="17"/>
      <c r="L79" s="17"/>
      <c r="M79" s="17"/>
      <c r="N79" s="17"/>
    </row>
    <row r="80" spans="1:14" x14ac:dyDescent="0.2">
      <c r="A80" s="17"/>
      <c r="B80" s="17"/>
      <c r="C80" s="17"/>
      <c r="D80" s="17"/>
      <c r="E80" s="17"/>
      <c r="F80" s="17"/>
      <c r="G80" s="17"/>
      <c r="H80" s="17"/>
      <c r="I80" s="17"/>
      <c r="J80" s="17"/>
      <c r="K80" s="17"/>
      <c r="L80" s="17"/>
      <c r="M80" s="17"/>
      <c r="N80" s="17"/>
    </row>
    <row r="81" spans="1:14" x14ac:dyDescent="0.2">
      <c r="A81" s="17"/>
      <c r="B81" s="17"/>
      <c r="C81" s="17"/>
      <c r="D81" s="17"/>
      <c r="E81" s="17"/>
      <c r="F81" s="17"/>
      <c r="G81" s="17"/>
      <c r="H81" s="17"/>
      <c r="I81" s="17"/>
      <c r="J81" s="17"/>
      <c r="K81" s="17"/>
      <c r="L81" s="17"/>
      <c r="M81" s="17"/>
      <c r="N81" s="17"/>
    </row>
    <row r="82" spans="1:14" x14ac:dyDescent="0.2">
      <c r="A82" s="17"/>
      <c r="B82" s="17"/>
      <c r="C82" s="17"/>
      <c r="D82" s="17"/>
      <c r="E82" s="17"/>
      <c r="F82" s="17"/>
      <c r="G82" s="17"/>
      <c r="H82" s="17"/>
      <c r="I82" s="17"/>
      <c r="J82" s="17"/>
      <c r="K82" s="17"/>
      <c r="L82" s="17"/>
      <c r="M82" s="17"/>
      <c r="N82" s="17"/>
    </row>
    <row r="83" spans="1:14" x14ac:dyDescent="0.2">
      <c r="A83" s="17"/>
      <c r="B83" s="17"/>
      <c r="C83" s="17"/>
      <c r="D83" s="17"/>
      <c r="E83" s="17"/>
      <c r="F83" s="17"/>
      <c r="G83" s="17"/>
      <c r="H83" s="17"/>
      <c r="I83" s="17"/>
      <c r="J83" s="17"/>
      <c r="K83" s="17"/>
      <c r="L83" s="17"/>
      <c r="M83" s="17"/>
      <c r="N83" s="17"/>
    </row>
    <row r="84" spans="1:14" x14ac:dyDescent="0.2">
      <c r="A84" s="17"/>
      <c r="B84" s="17"/>
      <c r="C84" s="17"/>
      <c r="D84" s="17"/>
      <c r="E84" s="17"/>
      <c r="F84" s="17"/>
      <c r="G84" s="17"/>
      <c r="H84" s="17"/>
      <c r="I84" s="17"/>
      <c r="J84" s="17"/>
      <c r="K84" s="17"/>
      <c r="L84" s="17"/>
      <c r="M84" s="17"/>
      <c r="N84" s="17"/>
    </row>
    <row r="85" spans="1:14" x14ac:dyDescent="0.2">
      <c r="A85" s="17"/>
      <c r="B85" s="17"/>
      <c r="C85" s="17"/>
      <c r="D85" s="17"/>
      <c r="E85" s="17"/>
      <c r="F85" s="17"/>
      <c r="G85" s="17"/>
      <c r="H85" s="17"/>
      <c r="I85" s="17"/>
      <c r="J85" s="17"/>
      <c r="K85" s="17"/>
      <c r="L85" s="17"/>
      <c r="M85" s="17"/>
      <c r="N85" s="17"/>
    </row>
    <row r="86" spans="1:14" x14ac:dyDescent="0.2">
      <c r="A86" s="17"/>
      <c r="B86" s="17"/>
      <c r="C86" s="17"/>
      <c r="D86" s="17"/>
      <c r="E86" s="17"/>
      <c r="F86" s="17"/>
      <c r="G86" s="17"/>
      <c r="H86" s="17"/>
      <c r="I86" s="17"/>
      <c r="J86" s="17"/>
      <c r="K86" s="17"/>
      <c r="L86" s="17"/>
      <c r="M86" s="17"/>
      <c r="N86" s="17"/>
    </row>
    <row r="87" spans="1:14" x14ac:dyDescent="0.2">
      <c r="A87" s="17"/>
      <c r="B87" s="17"/>
      <c r="C87" s="17"/>
      <c r="D87" s="17"/>
      <c r="E87" s="17"/>
      <c r="F87" s="17"/>
      <c r="G87" s="17"/>
      <c r="H87" s="17"/>
      <c r="I87" s="17"/>
      <c r="J87" s="17"/>
      <c r="K87" s="17"/>
      <c r="L87" s="17"/>
      <c r="M87" s="17"/>
      <c r="N87" s="17"/>
    </row>
    <row r="88" spans="1:14" x14ac:dyDescent="0.2">
      <c r="A88" s="17"/>
      <c r="B88" s="17"/>
      <c r="C88" s="17"/>
      <c r="D88" s="17"/>
      <c r="E88" s="17"/>
      <c r="F88" s="17"/>
      <c r="G88" s="17"/>
      <c r="H88" s="17"/>
      <c r="I88" s="17"/>
      <c r="J88" s="17"/>
      <c r="K88" s="17"/>
      <c r="L88" s="17"/>
      <c r="M88" s="17"/>
      <c r="N88" s="17"/>
    </row>
    <row r="89" spans="1:14" x14ac:dyDescent="0.2">
      <c r="A89" s="17"/>
      <c r="B89" s="17"/>
      <c r="C89" s="17"/>
      <c r="D89" s="17"/>
      <c r="E89" s="17"/>
      <c r="F89" s="17"/>
      <c r="G89" s="17"/>
      <c r="H89" s="17"/>
      <c r="I89" s="17"/>
      <c r="J89" s="17"/>
      <c r="K89" s="17"/>
      <c r="L89" s="17"/>
      <c r="M89" s="17"/>
      <c r="N89" s="17"/>
    </row>
    <row r="90" spans="1:14" x14ac:dyDescent="0.2">
      <c r="A90" s="17"/>
      <c r="B90" s="17"/>
      <c r="C90" s="17"/>
      <c r="D90" s="17"/>
      <c r="E90" s="17"/>
      <c r="F90" s="17"/>
      <c r="G90" s="17"/>
      <c r="H90" s="17"/>
      <c r="I90" s="17"/>
      <c r="J90" s="17"/>
      <c r="K90" s="17"/>
      <c r="L90" s="17"/>
      <c r="M90" s="17"/>
      <c r="N90" s="17"/>
    </row>
    <row r="91" spans="1:14" x14ac:dyDescent="0.2">
      <c r="A91" s="17"/>
      <c r="B91" s="17"/>
      <c r="C91" s="17"/>
      <c r="D91" s="17"/>
      <c r="E91" s="17"/>
      <c r="F91" s="17"/>
      <c r="G91" s="17"/>
      <c r="H91" s="17"/>
      <c r="I91" s="17"/>
      <c r="J91" s="17"/>
      <c r="K91" s="17"/>
      <c r="L91" s="17"/>
      <c r="M91" s="17"/>
      <c r="N91" s="17"/>
    </row>
    <row r="92" spans="1:14" x14ac:dyDescent="0.2">
      <c r="A92" s="17"/>
      <c r="B92" s="17"/>
      <c r="C92" s="17"/>
      <c r="D92" s="17"/>
      <c r="E92" s="17"/>
      <c r="F92" s="17"/>
      <c r="G92" s="17"/>
      <c r="H92" s="17"/>
      <c r="I92" s="17"/>
      <c r="J92" s="17"/>
      <c r="K92" s="17"/>
      <c r="L92" s="17"/>
      <c r="M92" s="17"/>
      <c r="N92" s="17"/>
    </row>
    <row r="93" spans="1:14" x14ac:dyDescent="0.2">
      <c r="A93" s="17"/>
      <c r="B93" s="17"/>
      <c r="C93" s="17"/>
      <c r="D93" s="17"/>
      <c r="E93" s="17"/>
      <c r="F93" s="17"/>
      <c r="G93" s="17"/>
      <c r="H93" s="17"/>
      <c r="I93" s="17"/>
      <c r="J93" s="17"/>
      <c r="K93" s="17"/>
      <c r="L93" s="17"/>
      <c r="M93" s="17"/>
      <c r="N93" s="17"/>
    </row>
    <row r="94" spans="1:14" x14ac:dyDescent="0.2">
      <c r="A94" s="17"/>
      <c r="B94" s="17"/>
      <c r="C94" s="17"/>
      <c r="D94" s="17"/>
      <c r="E94" s="17"/>
      <c r="F94" s="17"/>
      <c r="G94" s="17"/>
      <c r="H94" s="17"/>
      <c r="I94" s="17"/>
      <c r="J94" s="17"/>
      <c r="K94" s="17"/>
      <c r="L94" s="17"/>
      <c r="M94" s="17"/>
      <c r="N94" s="17"/>
    </row>
    <row r="95" spans="1:14" x14ac:dyDescent="0.2">
      <c r="A95" s="17"/>
      <c r="B95" s="17"/>
      <c r="C95" s="17"/>
      <c r="D95" s="17"/>
      <c r="E95" s="17"/>
      <c r="F95" s="17"/>
      <c r="G95" s="17"/>
      <c r="H95" s="17"/>
      <c r="I95" s="17"/>
      <c r="J95" s="17"/>
      <c r="K95" s="17"/>
      <c r="L95" s="17"/>
      <c r="M95" s="17"/>
      <c r="N95" s="17"/>
    </row>
    <row r="96" spans="1:14" x14ac:dyDescent="0.2">
      <c r="A96" s="17"/>
      <c r="B96" s="17"/>
      <c r="C96" s="17"/>
      <c r="D96" s="17"/>
      <c r="E96" s="17"/>
      <c r="F96" s="17"/>
      <c r="G96" s="17"/>
      <c r="H96" s="17"/>
      <c r="I96" s="17"/>
      <c r="J96" s="17"/>
      <c r="K96" s="17"/>
      <c r="L96" s="17"/>
      <c r="M96" s="17"/>
      <c r="N96" s="17"/>
    </row>
    <row r="97" spans="1:14" x14ac:dyDescent="0.2">
      <c r="A97" s="17"/>
      <c r="B97" s="17"/>
      <c r="C97" s="17"/>
      <c r="D97" s="17"/>
      <c r="E97" s="17"/>
      <c r="F97" s="17"/>
      <c r="G97" s="17"/>
      <c r="H97" s="17"/>
      <c r="I97" s="17"/>
      <c r="J97" s="17"/>
      <c r="K97" s="17"/>
      <c r="L97" s="17"/>
      <c r="M97" s="17"/>
      <c r="N97" s="17"/>
    </row>
    <row r="98" spans="1:14" x14ac:dyDescent="0.2">
      <c r="A98" s="17"/>
      <c r="B98" s="17"/>
      <c r="C98" s="17"/>
      <c r="D98" s="17"/>
      <c r="E98" s="17"/>
      <c r="F98" s="17"/>
      <c r="G98" s="17"/>
      <c r="H98" s="17"/>
      <c r="I98" s="17"/>
      <c r="J98" s="17"/>
      <c r="K98" s="17"/>
      <c r="L98" s="17"/>
      <c r="M98" s="17"/>
      <c r="N98" s="17"/>
    </row>
    <row r="99" spans="1:14" x14ac:dyDescent="0.2">
      <c r="A99" s="17"/>
      <c r="B99" s="17"/>
      <c r="C99" s="17"/>
      <c r="D99" s="17"/>
      <c r="E99" s="17"/>
      <c r="F99" s="17"/>
      <c r="G99" s="17"/>
      <c r="H99" s="17"/>
      <c r="I99" s="17"/>
      <c r="J99" s="17"/>
      <c r="K99" s="17"/>
      <c r="L99" s="17"/>
      <c r="M99" s="17"/>
      <c r="N99" s="17"/>
    </row>
    <row r="100" spans="1:14" x14ac:dyDescent="0.2">
      <c r="A100" s="17"/>
      <c r="B100" s="17"/>
      <c r="C100" s="17"/>
      <c r="D100" s="17"/>
      <c r="E100" s="17"/>
      <c r="F100" s="17"/>
      <c r="G100" s="17"/>
      <c r="H100" s="17"/>
      <c r="I100" s="17"/>
      <c r="J100" s="17"/>
      <c r="K100" s="17"/>
      <c r="L100" s="17"/>
      <c r="M100" s="17"/>
      <c r="N100" s="17"/>
    </row>
    <row r="101" spans="1:14" x14ac:dyDescent="0.2">
      <c r="N101" s="17"/>
    </row>
    <row r="102" spans="1:14" x14ac:dyDescent="0.2">
      <c r="N102" s="17"/>
    </row>
    <row r="103" spans="1:14" x14ac:dyDescent="0.2">
      <c r="N103" s="17"/>
    </row>
    <row r="104" spans="1:14" x14ac:dyDescent="0.2">
      <c r="N104" s="17"/>
    </row>
    <row r="105" spans="1:14" x14ac:dyDescent="0.2">
      <c r="N105" s="17"/>
    </row>
    <row r="106" spans="1:14" x14ac:dyDescent="0.2">
      <c r="N106" s="17"/>
    </row>
    <row r="107" spans="1:14" x14ac:dyDescent="0.2">
      <c r="N107" s="17"/>
    </row>
    <row r="108" spans="1:14" x14ac:dyDescent="0.2">
      <c r="N108" s="17"/>
    </row>
    <row r="109" spans="1:14" x14ac:dyDescent="0.2">
      <c r="N109" s="17"/>
    </row>
    <row r="110" spans="1:14" x14ac:dyDescent="0.2">
      <c r="N110" s="17"/>
    </row>
    <row r="111" spans="1:14" x14ac:dyDescent="0.2">
      <c r="N111" s="17"/>
    </row>
    <row r="112" spans="1:14" x14ac:dyDescent="0.2">
      <c r="N112" s="17"/>
    </row>
    <row r="113" spans="14:14" x14ac:dyDescent="0.2">
      <c r="N113" s="17"/>
    </row>
    <row r="114" spans="14:14" x14ac:dyDescent="0.2">
      <c r="N114" s="17"/>
    </row>
    <row r="115" spans="14:14" x14ac:dyDescent="0.2">
      <c r="N115" s="17"/>
    </row>
    <row r="116" spans="14:14" x14ac:dyDescent="0.2">
      <c r="N116" s="17"/>
    </row>
    <row r="117" spans="14:14" x14ac:dyDescent="0.2">
      <c r="N117" s="17"/>
    </row>
    <row r="118" spans="14:14" x14ac:dyDescent="0.2">
      <c r="N118" s="17"/>
    </row>
    <row r="119" spans="14:14" x14ac:dyDescent="0.2">
      <c r="N119" s="17"/>
    </row>
    <row r="120" spans="14:14" x14ac:dyDescent="0.2">
      <c r="N120" s="17"/>
    </row>
    <row r="121" spans="14:14" x14ac:dyDescent="0.2">
      <c r="N121" s="17"/>
    </row>
    <row r="122" spans="14:14" x14ac:dyDescent="0.2">
      <c r="N122" s="17"/>
    </row>
    <row r="123" spans="14:14" x14ac:dyDescent="0.2">
      <c r="N123" s="17"/>
    </row>
    <row r="124" spans="14:14" x14ac:dyDescent="0.2">
      <c r="N124" s="17"/>
    </row>
    <row r="125" spans="14:14" x14ac:dyDescent="0.2">
      <c r="N125" s="17"/>
    </row>
    <row r="126" spans="14:14" x14ac:dyDescent="0.2">
      <c r="N126" s="17"/>
    </row>
    <row r="127" spans="14:14" x14ac:dyDescent="0.2">
      <c r="N127" s="17"/>
    </row>
    <row r="128" spans="14:14" x14ac:dyDescent="0.2">
      <c r="N128" s="17"/>
    </row>
    <row r="129" spans="14:14" x14ac:dyDescent="0.2">
      <c r="N129" s="17"/>
    </row>
  </sheetData>
  <sheetProtection algorithmName="SHA-512" hashValue="U9QfvwZdE5FQPb19E1hS3OGdf04XUoP+qhslB8KkATpiaJ7+ppsjzaEshwy8FKsp/vTy5wufdzkvWQoRC6FYCg==" saltValue="8ZOWlyyYNvwrzT4Hu4wOLg==" spinCount="100000" sheet="1" objects="1" scenarios="1"/>
  <autoFilter ref="B25:M25" xr:uid="{BA56D068-1092-4C29-A79A-F72AF1446060}">
    <filterColumn colId="2" showButton="0"/>
    <filterColumn colId="3" showButton="0"/>
  </autoFilter>
  <dataConsolidate/>
  <mergeCells count="63">
    <mergeCell ref="D54:F54"/>
    <mergeCell ref="D55:F55"/>
    <mergeCell ref="D56:F56"/>
    <mergeCell ref="B4:G4"/>
    <mergeCell ref="B48:B56"/>
    <mergeCell ref="C48:C50"/>
    <mergeCell ref="D48:F48"/>
    <mergeCell ref="D49:F49"/>
    <mergeCell ref="D50:F50"/>
    <mergeCell ref="C51:C53"/>
    <mergeCell ref="D51:F51"/>
    <mergeCell ref="D52:F52"/>
    <mergeCell ref="D53:F53"/>
    <mergeCell ref="C54:C55"/>
    <mergeCell ref="D40:F40"/>
    <mergeCell ref="D41:F41"/>
    <mergeCell ref="D42:F42"/>
    <mergeCell ref="B43:B47"/>
    <mergeCell ref="C43:C44"/>
    <mergeCell ref="D43:F43"/>
    <mergeCell ref="D44:F44"/>
    <mergeCell ref="D45:F45"/>
    <mergeCell ref="D46:F46"/>
    <mergeCell ref="D47:F47"/>
    <mergeCell ref="D33:F33"/>
    <mergeCell ref="B34:B42"/>
    <mergeCell ref="C34:C38"/>
    <mergeCell ref="D34:F34"/>
    <mergeCell ref="D35:F35"/>
    <mergeCell ref="D36:F36"/>
    <mergeCell ref="D37:F37"/>
    <mergeCell ref="D38:F38"/>
    <mergeCell ref="C39:C40"/>
    <mergeCell ref="D39:F39"/>
    <mergeCell ref="B26:B33"/>
    <mergeCell ref="C26:C28"/>
    <mergeCell ref="D26:F26"/>
    <mergeCell ref="D27:F27"/>
    <mergeCell ref="D28:F28"/>
    <mergeCell ref="D29:F29"/>
    <mergeCell ref="C30:C32"/>
    <mergeCell ref="D30:F30"/>
    <mergeCell ref="D31:F31"/>
    <mergeCell ref="D32:F32"/>
    <mergeCell ref="B19:C19"/>
    <mergeCell ref="B20:C20"/>
    <mergeCell ref="A23:M23"/>
    <mergeCell ref="D25:F25"/>
    <mergeCell ref="B21:C21"/>
    <mergeCell ref="D22:F22"/>
    <mergeCell ref="B18:C18"/>
    <mergeCell ref="B6:D6"/>
    <mergeCell ref="B7:C7"/>
    <mergeCell ref="F7:F9"/>
    <mergeCell ref="B8:C8"/>
    <mergeCell ref="B9:C9"/>
    <mergeCell ref="B13:C13"/>
    <mergeCell ref="B14:C14"/>
    <mergeCell ref="B15:C15"/>
    <mergeCell ref="B17:C17"/>
    <mergeCell ref="A11:M11"/>
    <mergeCell ref="H13:I13"/>
    <mergeCell ref="H14:I14"/>
  </mergeCells>
  <conditionalFormatting sqref="B17:D19 B21:D21 B20:C20">
    <cfRule type="expression" dxfId="442" priority="10">
      <formula>OR($D$15="",$D$15="No")</formula>
    </cfRule>
  </conditionalFormatting>
  <conditionalFormatting sqref="G25:G29 G32:G56">
    <cfRule type="expression" dxfId="441" priority="1">
      <formula>$F$7="Performance Framework"</formula>
    </cfRule>
  </conditionalFormatting>
  <conditionalFormatting sqref="G30">
    <cfRule type="expression" dxfId="440" priority="468">
      <formula>$F$7="Performance Framework"</formula>
    </cfRule>
  </conditionalFormatting>
  <conditionalFormatting sqref="G31">
    <cfRule type="expression" dxfId="439" priority="467">
      <formula>$F$7="Performance Framework"</formula>
    </cfRule>
  </conditionalFormatting>
  <conditionalFormatting sqref="H13:J14">
    <cfRule type="expression" dxfId="438" priority="121">
      <formula>OR($D$15="",$D$15="Yes")</formula>
    </cfRule>
  </conditionalFormatting>
  <conditionalFormatting sqref="L25:M56">
    <cfRule type="expression" dxfId="437" priority="4">
      <formula>OR($F$7="Performance Framework", $F$7="Reviewer / Coordinating Mechanism")</formula>
    </cfRule>
  </conditionalFormatting>
  <conditionalFormatting sqref="H25:J56">
    <cfRule type="expression" dxfId="436" priority="423">
      <formula>$F$7="Performance Framework"</formula>
    </cfRule>
  </conditionalFormatting>
  <conditionalFormatting sqref="D17">
    <cfRule type="expression" dxfId="435" priority="127">
      <formula>AND(OR(SUMPRODUCT(--($G$26:$G$56&lt;&gt;""))=31, SUMPRODUCT(--$L$26:$L$56&lt;&gt;""))=31, $D$17="", OR($D$15="", $D$15= "Yes"))</formula>
    </cfRule>
  </conditionalFormatting>
  <conditionalFormatting sqref="J13">
    <cfRule type="expression" dxfId="434" priority="126">
      <formula>AND(J13="", $G$20&lt;&gt;"", OR($D$15="", $D$15= "No"))</formula>
    </cfRule>
  </conditionalFormatting>
  <conditionalFormatting sqref="K25:K56">
    <cfRule type="expression" dxfId="433" priority="11">
      <formula>$F$7="Performance Framework"</formula>
    </cfRule>
    <cfRule type="expression" dxfId="432" priority="12">
      <formula>$F$7="Reviewer / Coordinating Mechanism"</formula>
    </cfRule>
    <cfRule type="expression" dxfId="431" priority="14">
      <formula>$K$26=""</formula>
    </cfRule>
  </conditionalFormatting>
  <conditionalFormatting sqref="K27">
    <cfRule type="expression" dxfId="430" priority="44">
      <formula>OR(ISNUMBER(SEARCH("objective = 3     Preliminary score = 3",$K$27)),ISNUMBER(SEARCH("objective = 3     Preliminary score = 2",$K$27)),ISNUMBER(SEARCH("objective = 2     Preliminary score = 3",$K$27)),ISNUMBER(SEARCH("objective = 2     Preliminary score = 2",$K$27)),ISNUMBER(SEARCH("Old score = 3          Preliminary score = 3",$K$27)),ISNUMBER(SEARCH("Old score = 3          Preliminary score = 2",$K$27)),ISNUMBER(SEARCH("Old score = 2          Preliminary score = 3",$K$27)),ISNUMBER(SEARCH("Old score = 2          Preliminary score = 2",$K$27)))</formula>
    </cfRule>
    <cfRule type="expression" dxfId="429" priority="75">
      <formula>OR(ISNUMBER(SEARCH("objective = 3     Preliminary score = 1", $K$27)),ISNUMBER(SEARCH("objective = 3     Preliminary score = 0", $K$27)),ISNUMBER(SEARCH("objective = 1     Preliminary score = 2", $K$27)),ISNUMBER(SEARCH("objective = 1     Preliminary score = 3", $K$27)),ISNUMBER(SEARCH("objective = 0     Preliminary score = 1", $K$27)),ISNUMBER(SEARCH("objective = 0     Preliminary score = 2", $K$27)),ISNUMBER(SEARCH("objective = 0     Preliminary score = 3", $K$27)),ISNUMBER(SEARCH("Old score = 3          Preliminary score = 1", $K$27)),ISNUMBER(SEARCH("Old score = 3          Preliminary score = 0", $K$27)),ISNUMBER(SEARCH("Old score = 1          Preliminary score = 2", $K$27)),ISNUMBER(SEARCH("Old score = 1          Preliminary score = 3", $K$27)),ISNUMBER(SEARCH("Old score = 0          Preliminary score = 1", $K$27)),ISNUMBER(SEARCH("Old score = 0          Preliminary score = 2", $K$27)),ISNUMBER(SEARCH("Old score = 0          Preliminary score = 3", $K$27)))</formula>
    </cfRule>
    <cfRule type="expression" dxfId="428" priority="104">
      <formula>OR(ISNUMBER(SEARCH("objective = 2     Preliminary score = 1", $K$27)),ISNUMBER(SEARCH("objective = 2     Preliminary score = 0", $K$27)),ISNUMBER(SEARCH("objective = 1     Preliminary score = 1", $K$27)),ISNUMBER(SEARCH("objective = 1     Preliminary score = 0", $K$27)),ISNUMBER(SEARCH("objective = 0     Preliminary score = 0", $K$27)),ISNUMBER(SEARCH("Old score = 2          Preliminary score = 1", $K$27)),ISNUMBER(SEARCH("Old score = 2          Preliminary score = 0", $K$27)),ISNUMBER(SEARCH("Old score = 1          Preliminary score = 1", $K$27)),ISNUMBER(SEARCH("score = 1          Preliminary score = 0", $K$27)),ISNUMBER(SEARCH("score = 0          Preliminary score = 0", $K$27)))</formula>
    </cfRule>
  </conditionalFormatting>
  <conditionalFormatting sqref="K31">
    <cfRule type="expression" dxfId="427" priority="40">
      <formula>OR(ISNUMBER(SEARCH("objective = 3     Preliminary score = 3",$K$31)),ISNUMBER(SEARCH("objective = 3     Preliminary score = 2",$K$31)),ISNUMBER(SEARCH("objective = 2     Preliminary score = 3",$K$31)),ISNUMBER(SEARCH("objective = 2     Preliminary score = 2",$K$31)),ISNUMBER(SEARCH("Old score = 3          Preliminary score = 3",$K$31)),ISNUMBER(SEARCH("Old score = 3          Preliminary score = 2",$K$31)),ISNUMBER(SEARCH("Old score = 2          Preliminary score = 3",$K$31)),ISNUMBER(SEARCH("Old score = 2          Preliminary score = 2",$K$31)))</formula>
    </cfRule>
    <cfRule type="expression" dxfId="426" priority="71">
      <formula>OR(ISNUMBER(SEARCH("objective = 3     Preliminary score = 1", $K$31)),ISNUMBER(SEARCH("objective = 3     Preliminary score = 0", $K$31)),ISNUMBER(SEARCH("objective = 1     Preliminary score = 2", $K$31)),ISNUMBER(SEARCH("objective = 1     Preliminary score = 3", $K$31)),ISNUMBER(SEARCH("objective = 0     Preliminary score = 1", $K$31)),ISNUMBER(SEARCH("objective = 0     Preliminary score = 2", $K$31)),ISNUMBER(SEARCH("objective = 0     Preliminary score = 3", $K$31)),ISNUMBER(SEARCH("Old score = 3          Preliminary score = 1", $K$31)),ISNUMBER(SEARCH("Old score = 3          Preliminary score = 0", $K$31)),ISNUMBER(SEARCH("Old score = 1          Preliminary score = 2", $K$31)),ISNUMBER(SEARCH("Old score = 1          Preliminary score = 3", $K$31)),ISNUMBER(SEARCH("Old score = 0          Preliminary score = 1", $K$31)),ISNUMBER(SEARCH("Old score = 0          Preliminary score = 2", $K$31)),ISNUMBER(SEARCH("Old score = 0          Preliminary score = 3", $K$31)))</formula>
    </cfRule>
    <cfRule type="expression" dxfId="425" priority="102">
      <formula>OR(ISNUMBER(SEARCH("objective = 2     Preliminary score = 1", $K$31)),ISNUMBER(SEARCH("objective = 2     Preliminary score = 0", $K$31)),ISNUMBER(SEARCH("objective = 1     Preliminary score = 1", $K$31)),ISNUMBER(SEARCH("objective = 1     Preliminary score = 0", $K$31)),ISNUMBER(SEARCH("objective = 0     Preliminary score = 0", $K$31)),ISNUMBER(SEARCH("Old score = 2          Preliminary score = 1", $K$31)),ISNUMBER(SEARCH("Old score = 2          Preliminary score = 0", $K$31)),ISNUMBER(SEARCH("Old score = 1          Preliminary score = 1", $K$31)),ISNUMBER(SEARCH("score = 1          Preliminary score = 0", $K$31)),ISNUMBER(SEARCH("score = 0          Preliminary score = 0", $K$31)))</formula>
    </cfRule>
  </conditionalFormatting>
  <conditionalFormatting sqref="K36">
    <cfRule type="expression" dxfId="424" priority="35">
      <formula>OR(ISNUMBER(SEARCH("objective = 3     Preliminary score = 3",$K$36)),ISNUMBER(SEARCH("objective = 3     Preliminary score = 2",$K$36)),ISNUMBER(SEARCH("objective = 2     Preliminary score = 3",$K$36)),ISNUMBER(SEARCH("objective = 2     Preliminary score = 2",$K$36)),ISNUMBER(SEARCH("Old score = 3          Preliminary score = 3",$K$36)),ISNUMBER(SEARCH("Old score = 3          Preliminary score = 2",$K$36)),ISNUMBER(SEARCH("Old score = 2          Preliminary score = 3",$K$36)),ISNUMBER(SEARCH("Old score = 2          Preliminary score = 2",$K$36)))</formula>
    </cfRule>
    <cfRule type="expression" dxfId="423" priority="66">
      <formula>OR(ISNUMBER(SEARCH("objective = 3     Preliminary score = 1", $K$36)),ISNUMBER(SEARCH("objective = 3     Preliminary score = 0", $K$36)),ISNUMBER(SEARCH("objective = 1     Preliminary score = 2", $K$36)),ISNUMBER(SEARCH("objective = 1     Preliminary score = 3", $K$36)),ISNUMBER(SEARCH("objective = 0     Preliminary score = 1", $K$36)),ISNUMBER(SEARCH("objective = 0     Preliminary score = 2", $K$36)),ISNUMBER(SEARCH("objective = 0     Preliminary score = 3", $K$36)),ISNUMBER(SEARCH("Old score = 3          Preliminary score = 1", $K$36)),ISNUMBER(SEARCH("Old score = 3          Preliminary score = 0", $K$36)),ISNUMBER(SEARCH("Old score = 1          Preliminary score = 2", $K$36)),ISNUMBER(SEARCH("Old score = 1          Preliminary score = 3", $K$36)),ISNUMBER(SEARCH("Old score = 0          Preliminary score = 1", $K$36)),ISNUMBER(SEARCH("Old score = 0          Preliminary score = 2", $K$36)),ISNUMBER(SEARCH("Old score = 0          Preliminary score = 3", $K$36)))</formula>
    </cfRule>
    <cfRule type="expression" dxfId="422" priority="97">
      <formula>OR(ISNUMBER(SEARCH("objective = 2     Preliminary score = 1", $K$36)),ISNUMBER(SEARCH("objective = 2     Preliminary score = 0", $K$36)),ISNUMBER(SEARCH("objective = 1     Preliminary score = 1", $K$36)),ISNUMBER(SEARCH("objective = 1     Preliminary score = 0", $K$36)),ISNUMBER(SEARCH("objective = 0     Preliminary score = 0", $K$36)),ISNUMBER(SEARCH("Old score = 2          Preliminary score = 1", $K$36)),ISNUMBER(SEARCH("Old score = 2          Preliminary score = 0", $K$36)),ISNUMBER(SEARCH("Old score = 1          Preliminary score = 1", $K$36)),ISNUMBER(SEARCH("score = 1          Preliminary score = 0", $K$36)),ISNUMBER(SEARCH("score = 0          Preliminary score = 0", $K$36)))</formula>
    </cfRule>
  </conditionalFormatting>
  <conditionalFormatting sqref="K37">
    <cfRule type="expression" dxfId="421" priority="34">
      <formula>OR(ISNUMBER(SEARCH("objective = 3     Preliminary score = 3",$K$37)),ISNUMBER(SEARCH("objective = 3     Preliminary score = 2",$K$37)),ISNUMBER(SEARCH("objective = 2     Preliminary score = 3",$K$37)),ISNUMBER(SEARCH("objective = 2     Preliminary score = 2",$K$37)),ISNUMBER(SEARCH("Old score = 3          Preliminary score = 3",$K$37)),ISNUMBER(SEARCH("Old score = 3          Preliminary score = 2",$K$37)),ISNUMBER(SEARCH("Old score = 2          Preliminary score = 3",$K$37)),ISNUMBER(SEARCH("Old score = 2          Preliminary score = 2",$K$37)))</formula>
    </cfRule>
    <cfRule type="expression" dxfId="420" priority="65">
      <formula>OR(ISNUMBER(SEARCH("objective = 3     Preliminary score = 1", $K$37)),ISNUMBER(SEARCH("objective = 3     Preliminary score = 0", $K$37)),ISNUMBER(SEARCH("objective = 1     Preliminary score = 2", $K$37)),ISNUMBER(SEARCH("objective = 1     Preliminary score = 3", $K$37)),ISNUMBER(SEARCH("objective = 0     Preliminary score = 1", $K$37)),ISNUMBER(SEARCH("objective = 0     Preliminary score = 2", $K$37)),ISNUMBER(SEARCH("objective = 0     Preliminary score = 3", $K$37)),ISNUMBER(SEARCH("Old score = 3          Preliminary score = 1", $K$37)),ISNUMBER(SEARCH("Old score = 3          Preliminary score = 0", $K$37)),ISNUMBER(SEARCH("Old score = 1          Preliminary score = 2", $K$37)),ISNUMBER(SEARCH("Old score = 1          Preliminary score = 3", $K$37)),ISNUMBER(SEARCH("Old score = 0          Preliminary score = 1", $K$37)),ISNUMBER(SEARCH("Old score = 0          Preliminary score = 2", $K$37)),ISNUMBER(SEARCH("Old score = 0          Preliminary score = 3", $K$37)))</formula>
    </cfRule>
    <cfRule type="expression" dxfId="419" priority="96">
      <formula>OR(ISNUMBER(SEARCH("objective = 2     Preliminary score = 1", $K$37)),ISNUMBER(SEARCH("objective = 2     Preliminary score = 0", $K$37)),ISNUMBER(SEARCH("objective = 1     Preliminary score = 1", $K$37)),ISNUMBER(SEARCH("objective = 1     Preliminary score = 0", $K$37)),ISNUMBER(SEARCH("objective = 0     Preliminary score = 0", $K$37)),ISNUMBER(SEARCH("Old score = 2          Preliminary score = 1", $K$37)),ISNUMBER(SEARCH("Old score = 2          Preliminary score = 0", $K$37)),ISNUMBER(SEARCH("Old score = 1          Preliminary score = 1", $K$37)),ISNUMBER(SEARCH("score = 1          Preliminary score = 0", $K$37)),ISNUMBER(SEARCH("score = 0          Preliminary score = 0", $K$37)))</formula>
    </cfRule>
  </conditionalFormatting>
  <conditionalFormatting sqref="K52">
    <cfRule type="expression" dxfId="418" priority="19">
      <formula>OR(ISNUMBER(SEARCH("objective = 3     Preliminary score = 3",$K$52)),ISNUMBER(SEARCH("objective = 3     Preliminary score = 2",$K$52)),ISNUMBER(SEARCH("objective = 2     Preliminary score = 3",$K$52)),ISNUMBER(SEARCH("objective = 2     Preliminary score = 2",$K$52)),ISNUMBER(SEARCH("Old score = 3          Preliminary score = 3",$K$52)),ISNUMBER(SEARCH("Old score = 3          Preliminary score = 2",$K$52)),ISNUMBER(SEARCH("Old score = 2          Preliminary score = 3",$K$52)),ISNUMBER(SEARCH("Old score = 2          Preliminary score = 2",$K$52)))</formula>
    </cfRule>
    <cfRule type="expression" dxfId="417" priority="50">
      <formula>OR(ISNUMBER(SEARCH("objective = 3     Preliminary score = 1", $K$52)),ISNUMBER(SEARCH("objective = 3     Preliminary score = 0", $K$52)),ISNUMBER(SEARCH("objective = 1     Preliminary score = 2", $K$52)),ISNUMBER(SEARCH("objective = 1     Preliminary score = 3", $K$52)),ISNUMBER(SEARCH("objective = 0     Preliminary score = 1", $K$52)),ISNUMBER(SEARCH("objective = 0     Preliminary score = 2", $K$52)),ISNUMBER(SEARCH("objective = 0     Preliminary score = 3", $K$52)),ISNUMBER(SEARCH("Old score = 3          Preliminary score = 1", $K$52)),ISNUMBER(SEARCH("Old score = 3          Preliminary score = 0", $K$52)),ISNUMBER(SEARCH("Old score = 1          Preliminary score = 2", $K$52)),ISNUMBER(SEARCH("Old score = 1          Preliminary score = 3", $K$52)),ISNUMBER(SEARCH("Old score = 0          Preliminary score = 1", $K$52)),ISNUMBER(SEARCH("Old score = 0          Preliminary score = 2", $K$52)),ISNUMBER(SEARCH("Old score = 0          Preliminary score = 3", $K$52)))</formula>
    </cfRule>
    <cfRule type="expression" dxfId="416" priority="81">
      <formula>OR(ISNUMBER(SEARCH("objective = 2     Preliminary score = 1", $K$52)),ISNUMBER(SEARCH("objective = 2     Preliminary score = 0", $K$52)),ISNUMBER(SEARCH("objective = 1     Preliminary score = 1", $K$52)),ISNUMBER(SEARCH("objective = 1     Preliminary score = 0", $K$52)),ISNUMBER(SEARCH("objective = 0     Preliminary score = 0", $K$52)),ISNUMBER(SEARCH("Old score = 2          Preliminary score = 1", $K$52)),ISNUMBER(SEARCH("Old score = 2          Preliminary score = 0", $K$52)),ISNUMBER(SEARCH("Old score = 1          Preliminary score = 1", $K$52)),ISNUMBER(SEARCH("score = 1          Preliminary score = 0", $K$52)),ISNUMBER(SEARCH("score = 0          Preliminary score = 0", $K$52)))</formula>
    </cfRule>
  </conditionalFormatting>
  <conditionalFormatting sqref="K56">
    <cfRule type="expression" dxfId="415" priority="15">
      <formula>OR(ISNUMBER(SEARCH("objective = 3     Preliminary score = 3",$K$56)),ISNUMBER(SEARCH("objective = 3     Preliminary score = 2",$K$56)),ISNUMBER(SEARCH("objective = 2     Preliminary score = 3",$K$56)),ISNUMBER(SEARCH("objective = 2     Preliminary score = 2",$K$56)),ISNUMBER(SEARCH("Old score = 3          Preliminary score = 3",$K$56)),ISNUMBER(SEARCH("Old score = 3          Preliminary score = 2",$K$56)),ISNUMBER(SEARCH("Old score = 2          Preliminary score = 3",$K$56)),ISNUMBER(SEARCH("Old score = 2          Preliminary score = 2",$K$56)))</formula>
    </cfRule>
    <cfRule type="expression" dxfId="414" priority="46">
      <formula>OR(ISNUMBER(SEARCH("objective = 3     Preliminary score = 1", $K$56)),ISNUMBER(SEARCH("objective = 3     Preliminary score = 0", $K$56)),ISNUMBER(SEARCH("objective = 1     Preliminary score = 2", $K$56)),ISNUMBER(SEARCH("objective = 1     Preliminary score = 3", $K$56)),ISNUMBER(SEARCH("objective = 0     Preliminary score = 1", $K$56)),ISNUMBER(SEARCH("objective = 0     Preliminary score = 2", $K$56)),ISNUMBER(SEARCH("objective = 0     Preliminary score = 3", $K$56)),ISNUMBER(SEARCH("Old score = 3          Preliminary score = 1", $K$56)),ISNUMBER(SEARCH("Old score = 3          Preliminary score = 0", $K$56)),ISNUMBER(SEARCH("Old score = 1          Preliminary score = 2", $K$56)),ISNUMBER(SEARCH("Old score = 1          Preliminary score = 3", $K$56)),ISNUMBER(SEARCH("Old score = 0          Preliminary score = 1", $K$56)),ISNUMBER(SEARCH("Old score = 0          Preliminary score = 2", $K$56)),ISNUMBER(SEARCH("Old score = 0          Preliminary score = 3", $K$56)))</formula>
    </cfRule>
    <cfRule type="expression" dxfId="413" priority="77">
      <formula>OR(ISNUMBER(SEARCH("objective = 2     Preliminary score = 1", $K$56)),ISNUMBER(SEARCH("objective = 2     Preliminary score = 0", $K$56)),ISNUMBER(SEARCH("objective = 1     Preliminary score = 1", $K$56)),ISNUMBER(SEARCH("objective = 1     Preliminary score = 0", $K$56)),ISNUMBER(SEARCH("objective = 0     Preliminary score = 0", $K$56)),ISNUMBER(SEARCH("Old score = 2          Preliminary score = 1", $K$56)),ISNUMBER(SEARCH("Old score = 2          Preliminary score = 0", $K$56)),ISNUMBER(SEARCH("Old score = 1          Preliminary score = 1", $K$56)),ISNUMBER(SEARCH("score = 1          Preliminary score = 0", $K$56)),ISNUMBER(SEARCH("score = 0          Preliminary score = 0", $K$56)))</formula>
    </cfRule>
  </conditionalFormatting>
  <conditionalFormatting sqref="K30">
    <cfRule type="expression" dxfId="412" priority="41">
      <formula>OR(ISNUMBER(SEARCH("objective = 3     Preliminary score = 3",$K$30)),ISNUMBER(SEARCH("objective = 3     Preliminary score = 2",$K$30)),ISNUMBER(SEARCH("objective = 2     Preliminary score = 3",$K$30)),ISNUMBER(SEARCH("objective = 2     Preliminary score = 2",$K$30)),ISNUMBER(SEARCH("Old score = 3          Preliminary score = 3",$K$30)),ISNUMBER(SEARCH("Old score = 3          Preliminary score = 2",$K$30)),ISNUMBER(SEARCH("Old score = 2          Preliminary score = 3",$K$30)),ISNUMBER(SEARCH("Old score = 2          Preliminary score = 2",$K$30)))</formula>
    </cfRule>
    <cfRule type="expression" dxfId="411" priority="72">
      <formula>OR(ISNUMBER(SEARCH("objective = 3     Preliminary score = 1", $K$30)),ISNUMBER(SEARCH("objective = 3     Preliminary score = 0", $K$30)),ISNUMBER(SEARCH("objective = 1     Preliminary score = 2", $K$30)),ISNUMBER(SEARCH("objective = 1     Preliminary score = 3", $K$30)),ISNUMBER(SEARCH("objective = 0     Preliminary score = 1", $K$30)),ISNUMBER(SEARCH("objective = 0     Preliminary score = 2", $K$30)),ISNUMBER(SEARCH("objective = 0     Preliminary score = 3", $K$30)),ISNUMBER(SEARCH("Old score = 3          Preliminary score = 1", $K$30)),ISNUMBER(SEARCH("Old score = 3          Preliminary score = 0", $K$30)),ISNUMBER(SEARCH("Old score = 1          Preliminary score = 2", $K$30)),ISNUMBER(SEARCH("Old score = 1          Preliminary score = 3", $K$30)),ISNUMBER(SEARCH("Old score = 0          Preliminary score = 1", $K$30)),ISNUMBER(SEARCH("Old score = 0          Preliminary score = 2", $K$30)),ISNUMBER(SEARCH("Old score = 0          Preliminary score = 3", $K$30)))</formula>
    </cfRule>
    <cfRule type="expression" dxfId="410" priority="103">
      <formula>OR(ISNUMBER(SEARCH("objective = 2     Preliminary score = 1", $K$30)),ISNUMBER(SEARCH("objective = 2     Preliminary score = 0", $K$30)),ISNUMBER(SEARCH("objective = 1     Preliminary score = 1", $K$30)),ISNUMBER(SEARCH("objective = 1     Preliminary score = 0", $K$30)),ISNUMBER(SEARCH("objective = 0     Preliminary score = 0", $K$30)),ISNUMBER(SEARCH("Old score = 2          Preliminary score = 1", $K$30)),ISNUMBER(SEARCH("Old score = 2          Preliminary score = 0", $K$30)),ISNUMBER(SEARCH("Old score = 1          Preliminary score = 1", $K$30)),ISNUMBER(SEARCH("score = 1          Preliminary score = 0", $K$30)),ISNUMBER(SEARCH("score = 0          Preliminary score = 0", $K$30)))</formula>
    </cfRule>
  </conditionalFormatting>
  <conditionalFormatting sqref="K34">
    <cfRule type="expression" dxfId="409" priority="37">
      <formula>OR(ISNUMBER(SEARCH("objective = 3     Preliminary score = 3",$K$34)),ISNUMBER(SEARCH("objective = 3     Preliminary score = 2",$K$34)),ISNUMBER(SEARCH("objective = 2     Preliminary score = 3",$K$34)),ISNUMBER(SEARCH("objective = 2     Preliminary score = 2",$K$34)),ISNUMBER(SEARCH("Old score = 3          Preliminary score = 3",$K$34)),ISNUMBER(SEARCH("Old score = 3          Preliminary score = 2",$K$34)),ISNUMBER(SEARCH("Old score = 2          Preliminary score = 3",$K$34)),ISNUMBER(SEARCH("Old score = 2          Preliminary score = 2",$K$34)))</formula>
    </cfRule>
    <cfRule type="expression" dxfId="408" priority="68">
      <formula>OR(ISNUMBER(SEARCH("objective = 3     Preliminary score = 1", $K$34)),ISNUMBER(SEARCH("objective = 3     Preliminary score = 0", $K$34)),ISNUMBER(SEARCH("objective = 1     Preliminary score = 2", $K$34)),ISNUMBER(SEARCH("objective = 1     Preliminary score = 3", $K$34)),ISNUMBER(SEARCH("objective = 0     Preliminary score = 1", $K$34)),ISNUMBER(SEARCH("objective = 0     Preliminary score = 2", $K$34)),ISNUMBER(SEARCH("objective = 0     Preliminary score = 3", $K$34)),ISNUMBER(SEARCH("Old score = 3          Preliminary score = 1", $K$34)),ISNUMBER(SEARCH("Old score = 3          Preliminary score = 0", $K$34)),ISNUMBER(SEARCH("Old score = 1          Preliminary score = 2", $K$34)),ISNUMBER(SEARCH("Old score = 1          Preliminary score = 3", $K$34)),ISNUMBER(SEARCH("Old score = 0          Preliminary score = 1", $K$34)),ISNUMBER(SEARCH("Old score = 0          Preliminary score = 2", $K$34)),ISNUMBER(SEARCH("Old score = 0          Preliminary score = 3", $K$34)))</formula>
    </cfRule>
    <cfRule type="expression" dxfId="407" priority="99">
      <formula>OR(ISNUMBER(SEARCH("objective = 2     Preliminary score = 1", $K$34)),ISNUMBER(SEARCH("objective = 2     Preliminary score = 0", $K$34)),ISNUMBER(SEARCH("objective = 1     Preliminary score = 1", $K$34)),ISNUMBER(SEARCH("objective = 1     Preliminary score = 0", $K$34)),ISNUMBER(SEARCH("objective = 0     Preliminary score = 0", $K$34)),ISNUMBER(SEARCH("Old score = 2          Preliminary score = 1", $K$34)),ISNUMBER(SEARCH("Old score = 2          Preliminary score = 0", $K$34)),ISNUMBER(SEARCH("Old score = 1          Preliminary score = 1", $K$34)),ISNUMBER(SEARCH("score = 1          Preliminary score = 0", $K$34)),ISNUMBER(SEARCH("score = 0          Preliminary score = 0", $K$34)))</formula>
    </cfRule>
  </conditionalFormatting>
  <conditionalFormatting sqref="K35">
    <cfRule type="expression" dxfId="406" priority="36">
      <formula>OR(ISNUMBER(SEARCH("objective = 3     Preliminary score = 3",$K$35)),ISNUMBER(SEARCH("objective = 3     Preliminary score = 2",$K$35)),ISNUMBER(SEARCH("objective = 2     Preliminary score = 3",$K$35)),ISNUMBER(SEARCH("objective = 2     Preliminary score = 2",$K$35)),ISNUMBER(SEARCH("Old score = 3          Preliminary score = 3",$K$35)),ISNUMBER(SEARCH("Old score = 3          Preliminary score = 2",$K$35)),ISNUMBER(SEARCH("Old score = 2          Preliminary score = 3",$K$35)),ISNUMBER(SEARCH("Old score = 2          Preliminary score = 2",$K$35)))</formula>
    </cfRule>
    <cfRule type="expression" dxfId="405" priority="67">
      <formula>OR(ISNUMBER(SEARCH("objective = 3     Preliminary score = 1", $K$35)),ISNUMBER(SEARCH("objective = 3     Preliminary score = 0", $K$35)),ISNUMBER(SEARCH("objective = 1     Preliminary score = 2", $K$35)),ISNUMBER(SEARCH("objective = 1     Preliminary score = 3", $K$35)),ISNUMBER(SEARCH("objective = 0     Preliminary score = 1", $K$35)),ISNUMBER(SEARCH("objective = 0     Preliminary score = 2", $K$35)),ISNUMBER(SEARCH("objective = 0     Preliminary score = 3", $K$35)),ISNUMBER(SEARCH("Old score = 3          Preliminary score = 1", $K$35)),ISNUMBER(SEARCH("Old score = 3          Preliminary score = 0", $K$35)),ISNUMBER(SEARCH("Old score = 1          Preliminary score = 2", $K$35)),ISNUMBER(SEARCH("Old score = 1          Preliminary score = 3", $K$35)),ISNUMBER(SEARCH("Old score = 0          Preliminary score = 1", $K$35)),ISNUMBER(SEARCH("Old score = 0          Preliminary score = 2", $K$35)),ISNUMBER(SEARCH("Old score = 0          Preliminary score = 3", $K$35)))</formula>
    </cfRule>
    <cfRule type="expression" dxfId="404" priority="98">
      <formula>OR(ISNUMBER(SEARCH("objective = 2     Preliminary score = 1", $K$35)),ISNUMBER(SEARCH("objective = 2     Preliminary score = 0", $K$35)),ISNUMBER(SEARCH("objective = 1     Preliminary score = 1", $K$35)),ISNUMBER(SEARCH("objective = 1     Preliminary score = 0", $K$35)),ISNUMBER(SEARCH("objective = 0     Preliminary score = 0", $K$35)),ISNUMBER(SEARCH("Old score = 2          Preliminary score = 1", $K$35)),ISNUMBER(SEARCH("Old score = 2          Preliminary score = 0", $K$35)),ISNUMBER(SEARCH("Old score = 1          Preliminary score = 1", $K$35)),ISNUMBER(SEARCH("score = 1          Preliminary score = 0", $K$35)),ISNUMBER(SEARCH("score = 0          Preliminary score = 0", $K$35)))</formula>
    </cfRule>
  </conditionalFormatting>
  <conditionalFormatting sqref="K39">
    <cfRule type="expression" dxfId="403" priority="32">
      <formula>OR(ISNUMBER(SEARCH("objective = 3     Preliminary score = 3",$K$39)),ISNUMBER(SEARCH("objective = 3     Preliminary score = 2",$K$39)),ISNUMBER(SEARCH("objective = 2     Preliminary score = 3",$K$39)),ISNUMBER(SEARCH("objective = 2     Preliminary score = 2",$K$39)),ISNUMBER(SEARCH("Old score = 3          Preliminary score = 3",$K$39)),ISNUMBER(SEARCH("Old score = 3          Preliminary score = 2",$K$39)),ISNUMBER(SEARCH("Old score = 2          Preliminary score = 3",$K$39)),ISNUMBER(SEARCH("Old score = 2          Preliminary score = 2",$K$39)))</formula>
    </cfRule>
    <cfRule type="expression" dxfId="402" priority="63">
      <formula>OR(ISNUMBER(SEARCH("objective = 3     Preliminary score = 1", $K$39)),ISNUMBER(SEARCH("objective = 3     Preliminary score = 0", $K$39)),ISNUMBER(SEARCH("objective = 1     Preliminary score = 2", $K$39)),ISNUMBER(SEARCH("objective = 1     Preliminary score = 3", $K$39)),ISNUMBER(SEARCH("objective = 0     Preliminary score = 1", $K$39)),ISNUMBER(SEARCH("objective = 0     Preliminary score = 2", $K$39)),ISNUMBER(SEARCH("objective = 0     Preliminary score = 3", $K$39)),ISNUMBER(SEARCH("Old score = 3          Preliminary score = 1", $K$39)),ISNUMBER(SEARCH("Old score = 3          Preliminary score = 0", $K$39)),ISNUMBER(SEARCH("Old score = 1          Preliminary score = 2", $K$39)),ISNUMBER(SEARCH("Old score = 1          Preliminary score = 3", $K$39)),ISNUMBER(SEARCH("Old score = 0          Preliminary score = 1", $K$39)),ISNUMBER(SEARCH("Old score = 0          Preliminary score = 2", $K$39)),ISNUMBER(SEARCH("Old score = 0          Preliminary score = 3", $K$39)))</formula>
    </cfRule>
    <cfRule type="expression" dxfId="401" priority="94">
      <formula>OR(ISNUMBER(SEARCH("objective = 2     Preliminary score = 1", $K$39)),ISNUMBER(SEARCH("objective = 2     Preliminary score = 0", $K$39)),ISNUMBER(SEARCH("objective = 1     Preliminary score = 1", $K$39)),ISNUMBER(SEARCH("objective = 1     Preliminary score = 0", $K$39)),ISNUMBER(SEARCH("objective = 0     Preliminary score = 0", $K$39)),ISNUMBER(SEARCH("Old score = 2          Preliminary score = 1", $K$39)),ISNUMBER(SEARCH("Old score = 2          Preliminary score = 0", $K$39)),ISNUMBER(SEARCH("Old score = 1          Preliminary score = 1", $K$39)),ISNUMBER(SEARCH("score = 1          Preliminary score = 0", $K$39)),ISNUMBER(SEARCH("score = 0          Preliminary score = 0", $K$39)))</formula>
    </cfRule>
  </conditionalFormatting>
  <conditionalFormatting sqref="K43">
    <cfRule type="expression" dxfId="400" priority="28">
      <formula>OR(ISNUMBER(SEARCH("objective = 3     Preliminary score = 3",$K$43)),ISNUMBER(SEARCH("objective = 3     Preliminary score = 2",$K$43)),ISNUMBER(SEARCH("objective = 2     Preliminary score = 3",$K$43)),ISNUMBER(SEARCH("objective = 2     Preliminary score = 2",$K$43)),ISNUMBER(SEARCH("Old score = 3          Preliminary score = 3",$K$43)),ISNUMBER(SEARCH("Old score = 3          Preliminary score = 2",$K$43)),ISNUMBER(SEARCH("Old score = 2          Preliminary score = 3",$K$43)),ISNUMBER(SEARCH("Old score = 2          Preliminary score = 2",$K$43)))</formula>
    </cfRule>
    <cfRule type="expression" dxfId="399" priority="59">
      <formula>OR(ISNUMBER(SEARCH("objective = 3     Preliminary score = 1", $K$43)),ISNUMBER(SEARCH("objective = 3     Preliminary score = 0", $K$43)),ISNUMBER(SEARCH("objective = 1     Preliminary score = 2", $K$43)),ISNUMBER(SEARCH("objective = 1     Preliminary score = 3", $K$43)),ISNUMBER(SEARCH("objective = 0     Preliminary score = 1", $K$43)),ISNUMBER(SEARCH("objective = 0     Preliminary score = 2", $K$43)),ISNUMBER(SEARCH("objective = 0     Preliminary score = 3", $K$43)),ISNUMBER(SEARCH("Old score = 3          Preliminary score = 1", $K$43)),ISNUMBER(SEARCH("Old score = 3          Preliminary score = 0", $K$43)),ISNUMBER(SEARCH("Old score = 1          Preliminary score = 2", $K$43)),ISNUMBER(SEARCH("Old score = 1          Preliminary score = 3", $K$43)),ISNUMBER(SEARCH("Old score = 0          Preliminary score = 1", $K$43)),ISNUMBER(SEARCH("Old score = 0          Preliminary score = 2", $K$43)),ISNUMBER(SEARCH("Old score = 0          Preliminary score = 3", $K$43)))</formula>
    </cfRule>
    <cfRule type="expression" dxfId="398" priority="90">
      <formula>OR(ISNUMBER(SEARCH("objective = 2     Preliminary score = 1", $K$43)),ISNUMBER(SEARCH("objective = 2     Preliminary score = 0", $K$43)),ISNUMBER(SEARCH("objective = 1     Preliminary score = 1", $K$43)),ISNUMBER(SEARCH("objective = 1     Preliminary score = 0", $K$43)),ISNUMBER(SEARCH("objective = 0     Preliminary score = 0", $K$43)),ISNUMBER(SEARCH("Old score = 2          Preliminary score = 1", $K$43)),ISNUMBER(SEARCH("Old score = 2          Preliminary score = 0", $K$43)),ISNUMBER(SEARCH("Old score = 1          Preliminary score = 1", $K$43)),ISNUMBER(SEARCH("score = 1          Preliminary score = 0", $K$43)),ISNUMBER(SEARCH("score = 0          Preliminary score = 0", $K$43)))</formula>
    </cfRule>
  </conditionalFormatting>
  <conditionalFormatting sqref="K48">
    <cfRule type="expression" dxfId="397" priority="23">
      <formula>OR(ISNUMBER(SEARCH("objective = 3     Preliminary score = 3",$K$48)),ISNUMBER(SEARCH("objective = 3     Preliminary score = 2",$K$48)),ISNUMBER(SEARCH("objective = 2     Preliminary score = 3",$K$48)),ISNUMBER(SEARCH("objective = 2     Preliminary score = 2",$K$48)),ISNUMBER(SEARCH("Old score = 3          Preliminary score = 3",$K$48)),ISNUMBER(SEARCH("Old score = 3          Preliminary score = 2",$K$48)),ISNUMBER(SEARCH("Old score = 2          Preliminary score = 3",$K$48)),ISNUMBER(SEARCH("Old score = 2          Preliminary score = 2",$K$48)))</formula>
    </cfRule>
    <cfRule type="expression" dxfId="396" priority="54">
      <formula>OR(ISNUMBER(SEARCH("objective = 3     Preliminary score = 1", $K$48)),ISNUMBER(SEARCH("objective = 3     Preliminary score = 0", $K$48)),ISNUMBER(SEARCH("objective = 1     Preliminary score = 2", $K$48)),ISNUMBER(SEARCH("objective = 1     Preliminary score = 3", $K$48)),ISNUMBER(SEARCH("objective = 0     Preliminary score = 1", $K$48)),ISNUMBER(SEARCH("objective = 0     Preliminary score = 2", $K$48)),ISNUMBER(SEARCH("objective = 0     Preliminary score = 3", $K$48)),ISNUMBER(SEARCH("Old score = 3          Preliminary score = 1", $K$48)),ISNUMBER(SEARCH("Old score = 3          Preliminary score = 0", $K$48)),ISNUMBER(SEARCH("Old score = 1          Preliminary score = 2", $K$48)),ISNUMBER(SEARCH("Old score = 1          Preliminary score = 3", $K$48)),ISNUMBER(SEARCH("Old score = 0          Preliminary score = 1", $K$48)),ISNUMBER(SEARCH("Old score = 0          Preliminary score = 2", $K$48)),ISNUMBER(SEARCH("Old score = 0          Preliminary score = 3", $K$48)))</formula>
    </cfRule>
    <cfRule type="expression" dxfId="395" priority="85">
      <formula>OR(ISNUMBER(SEARCH("objective = 2     Preliminary score = 1", $K$48)),ISNUMBER(SEARCH("objective = 2     Preliminary score = 0", $K$48)),ISNUMBER(SEARCH("objective = 1     Preliminary score = 1", $K$48)),ISNUMBER(SEARCH("objective = 1     Preliminary score = 0", $K$48)),ISNUMBER(SEARCH("objective = 0     Preliminary score = 0", $K$48)),ISNUMBER(SEARCH("Old score = 2          Preliminary score = 1", $K$48)),ISNUMBER(SEARCH("Old score = 2          Preliminary score = 0", $K$48)),ISNUMBER(SEARCH("Old score = 1          Preliminary score = 1", $K$48)),ISNUMBER(SEARCH("score = 1          Preliminary score = 0", $K$48)),ISNUMBER(SEARCH("score = 0          Preliminary score = 0", $K$48)))</formula>
    </cfRule>
  </conditionalFormatting>
  <conditionalFormatting sqref="K54">
    <cfRule type="expression" dxfId="394" priority="17">
      <formula>OR(ISNUMBER(SEARCH("objective = 3     Preliminary score = 3",$K$54)),ISNUMBER(SEARCH("objective = 3     Preliminary score = 2",$K$54)),ISNUMBER(SEARCH("objective = 2     Preliminary score = 3",$K$54)),ISNUMBER(SEARCH("objective = 2     Preliminary score = 2",$K$54)),ISNUMBER(SEARCH("Old score = 3          Preliminary score = 3",$K$54)),ISNUMBER(SEARCH("Old score = 3          Preliminary score = 2",$K$54)),ISNUMBER(SEARCH("Old score = 2          Preliminary score = 3",$K$54)),ISNUMBER(SEARCH("Old score = 2          Preliminary score = 2",$K$54)))</formula>
    </cfRule>
    <cfRule type="expression" dxfId="393" priority="48">
      <formula>OR(ISNUMBER(SEARCH("objective = 3     Preliminary score = 1", $K$54)),ISNUMBER(SEARCH("objective = 3     Preliminary score = 0", $K$54)),ISNUMBER(SEARCH("objective = 1     Preliminary score = 2", $K$54)),ISNUMBER(SEARCH("objective = 1     Preliminary score = 3", $K$54)),ISNUMBER(SEARCH("objective = 0     Preliminary score = 1", $K$54)),ISNUMBER(SEARCH("objective = 0     Preliminary score = 2", $K$54)),ISNUMBER(SEARCH("objective = 0     Preliminary score = 3", $K$54)),ISNUMBER(SEARCH("Old score = 3          Preliminary score = 1", $K$54)),ISNUMBER(SEARCH("Old score = 3          Preliminary score = 0", $K$54)),ISNUMBER(SEARCH("Old score = 1          Preliminary score = 2", $K$54)),ISNUMBER(SEARCH("Old score = 1          Preliminary score = 3", $K$54)),ISNUMBER(SEARCH("Old score = 0          Preliminary score = 1", $K$54)),ISNUMBER(SEARCH("Old score = 0          Preliminary score = 2", $K$54)),ISNUMBER(SEARCH("Old score = 0          Preliminary score = 3", $K$54)))</formula>
    </cfRule>
    <cfRule type="expression" dxfId="392" priority="79">
      <formula>OR(ISNUMBER(SEARCH("objective = 2     Preliminary score = 1", $K$54)),ISNUMBER(SEARCH("objective = 2     Preliminary score = 0", $K$54)),ISNUMBER(SEARCH("objective = 1     Preliminary score = 1", $K$54)),ISNUMBER(SEARCH("objective = 1     Preliminary score = 0", $K$54)),ISNUMBER(SEARCH("objective = 0     Preliminary score = 0", $K$54)),ISNUMBER(SEARCH("Old score = 2          Preliminary score = 1", $K$54)),ISNUMBER(SEARCH("Old score = 2          Preliminary score = 0", $K$54)),ISNUMBER(SEARCH("Old score = 1          Preliminary score = 1", $K$54)),ISNUMBER(SEARCH("score = 1          Preliminary score = 0", $K$54)),ISNUMBER(SEARCH("score = 0          Preliminary score = 0", $K$54)))</formula>
    </cfRule>
  </conditionalFormatting>
  <conditionalFormatting sqref="K49">
    <cfRule type="expression" dxfId="391" priority="22">
      <formula>OR(ISNUMBER(SEARCH("objective = 3     Preliminary score = 3",$K$49)),ISNUMBER(SEARCH("objective = 3     Preliminary score = 2",$K$49)),ISNUMBER(SEARCH("objective = 2     Preliminary score = 3",$K$49)),ISNUMBER(SEARCH("objective = 2     Preliminary score = 2",$K$49)),ISNUMBER(SEARCH("Old score = 3          Preliminary score = 3",$K$49)),ISNUMBER(SEARCH("Old score = 3          Preliminary score = 2",$K$49)),ISNUMBER(SEARCH("Old score = 2          Preliminary score = 3",$K$49)),ISNUMBER(SEARCH("Old score = 2          Preliminary score = 2",$K$49)))</formula>
    </cfRule>
    <cfRule type="expression" dxfId="390" priority="53" stopIfTrue="1">
      <formula>OR(ISNUMBER(SEARCH("objective = 3     Preliminary score = 1", $K$49)),ISNUMBER(SEARCH("objective = 3     Preliminary score = 0", $K$49)),ISNUMBER(SEARCH("objective = 1     Preliminary score = 2", $K$49)),ISNUMBER(SEARCH("objective = 1     Preliminary score = 3", $K$49)),ISNUMBER(SEARCH("objective = 0     Preliminary score = 1", $K$49)),ISNUMBER(SEARCH("objective = 0     Preliminary score = 2", $K$49)),ISNUMBER(SEARCH("objective = 0     Preliminary score = 3", $K$49)),ISNUMBER(SEARCH("Old score = 3          Preliminary score = 1", $K$49)),ISNUMBER(SEARCH("Old score = 3          Preliminary score = 0", $K$49)),ISNUMBER(SEARCH("Old score = 1          Preliminary score = 2", $K$49)),ISNUMBER(SEARCH("Old score = 1          Preliminary score = 3", $K$49)),ISNUMBER(SEARCH("Old score = 0          Preliminary score = 1", $K$49)),ISNUMBER(SEARCH("Old score = 0          Preliminary score = 2", $K$49)),ISNUMBER(SEARCH("Old score = 0          Preliminary score = 3", $K$49)))</formula>
    </cfRule>
    <cfRule type="expression" dxfId="389" priority="84" stopIfTrue="1">
      <formula>OR(ISNUMBER(SEARCH("objective = 2     Preliminary score = 1", $K$49)),ISNUMBER(SEARCH("objective = 2     Preliminary score = 0", $K$49)),ISNUMBER(SEARCH("objective = 1     Preliminary score = 1", $K$49)),ISNUMBER(SEARCH("objective = 1     Preliminary score = 0", $K$49)),ISNUMBER(SEARCH("objective = 0     Preliminary score = 0", $K$49)),ISNUMBER(SEARCH("Old score = 2          Preliminary score = 1", $K$49)),ISNUMBER(SEARCH("Old score = 2          Preliminary score = 0", $K$49)),ISNUMBER(SEARCH("Old score = 1          Preliminary score = 1", $K$49)),ISNUMBER(SEARCH("score = 1          Preliminary score = 0", $K$49)),ISNUMBER(SEARCH("score = 0          Preliminary score = 0", $K$49)))</formula>
    </cfRule>
  </conditionalFormatting>
  <conditionalFormatting sqref="D21">
    <cfRule type="expression" dxfId="388" priority="122">
      <formula>AND($D$14="No",$D$15="Yes", $D$21="")</formula>
    </cfRule>
  </conditionalFormatting>
  <conditionalFormatting sqref="B21:D21">
    <cfRule type="expression" dxfId="387" priority="9">
      <formula>AND($D$14="Yes",$D$15="Yes")</formula>
    </cfRule>
  </conditionalFormatting>
  <conditionalFormatting sqref="D20">
    <cfRule type="expression" dxfId="386" priority="7">
      <formula>OR($D$15="",$D$15="No")</formula>
    </cfRule>
  </conditionalFormatting>
  <conditionalFormatting sqref="K26">
    <cfRule type="expression" dxfId="385" priority="45">
      <formula>OR(ISNUMBER(SEARCH("objective = 3     Preliminary score = 3",$K$26)),ISNUMBER(SEARCH("objective = 3     Preliminary score = 2",$K$26)),ISNUMBER(SEARCH("objective = 2     Preliminary score = 3",$K$26)),ISNUMBER(SEARCH("objective = 2     Preliminary score = 2",$K$26)),ISNUMBER(SEARCH("Old score = 3          Preliminary score = 3",$K$26)),ISNUMBER(SEARCH("Old score = 3          Preliminary score = 2",$K$26)),ISNUMBER(SEARCH("Old score = 2          Preliminary score = 3",$K$26)),ISNUMBER(SEARCH("Old score = 2          Preliminary score = 2",$K$26)))</formula>
    </cfRule>
    <cfRule type="expression" dxfId="384" priority="76">
      <formula>OR(ISNUMBER(SEARCH("objective = 3     Preliminary score = 1", $K$26)),ISNUMBER(SEARCH("objective = 3     Preliminary score = 0", $K$26)),ISNUMBER(SEARCH("objective = 1     Preliminary score = 2", $K$26)),ISNUMBER(SEARCH("objective = 1     Preliminary score = 3", $K$26)),ISNUMBER(SEARCH("objective = 0     Preliminary score = 1", $K$26)),ISNUMBER(SEARCH("objective = 0     Preliminary score = 2", $K$26)),ISNUMBER(SEARCH("objective = 0     Preliminary score = 3", $K$26)),ISNUMBER(SEARCH("Old score = 3          Preliminary score = 1", $K$26)),ISNUMBER(SEARCH("Old score = 3          Preliminary score = 0", $K$26)),ISNUMBER(SEARCH("Old score = 1          Preliminary score = 2", $K$26)),ISNUMBER(SEARCH("Old score = 1          Preliminary score = 3", $K$26)),ISNUMBER(SEARCH("Old score = 0          Preliminary score = 1", $K$26)),ISNUMBER(SEARCH("Old score = 0          Preliminary score = 2", $K$26)),ISNUMBER(SEARCH("Old score = 0          Preliminary score = 3", $K$26)))</formula>
    </cfRule>
    <cfRule type="expression" dxfId="383" priority="107">
      <formula>OR(ISNUMBER(SEARCH("objective = 2     Preliminary score = 1", $K$26)),ISNUMBER(SEARCH("objective = 2     Preliminary score = 0", $K$26)),ISNUMBER(SEARCH("objective = 1     Preliminary score = 1", $K$26)),ISNUMBER(SEARCH("objective = 1     Preliminary score = 0", $K$26)),ISNUMBER(SEARCH("objective = 0     Preliminary score = 0", $K$26)),ISNUMBER(SEARCH("Old score = 2          Preliminary score = 1", $K$26)),ISNUMBER(SEARCH("Old score = 2          Preliminary score = 0", $K$26)),ISNUMBER(SEARCH("Old score = 1          Preliminary score = 1", $K$26)),ISNUMBER(SEARCH("score = 1          Preliminary score = 0", $K$26)),ISNUMBER(SEARCH("score = 0          Preliminary score = 0", $K$26)))</formula>
    </cfRule>
  </conditionalFormatting>
  <conditionalFormatting sqref="K28">
    <cfRule type="expression" dxfId="382" priority="43">
      <formula>OR(ISNUMBER(SEARCH("objective = 3     Preliminary score = 3",$K$28)),ISNUMBER(SEARCH("objective = 3     Preliminary score = 2",$K$28)),ISNUMBER(SEARCH("objective = 2     Preliminary score = 3",$K$28)),ISNUMBER(SEARCH("objective = 2     Preliminary score = 2",$K$28)),ISNUMBER(SEARCH("Old score = 3          Preliminary score = 3",$K$28)),ISNUMBER(SEARCH("Old score = 3          Preliminary score = 2",$K$28)),ISNUMBER(SEARCH("Old score = 2          Preliminary score = 3",$K$28)),ISNUMBER(SEARCH("Old score = 2          Preliminary score = 2",$K$28)))</formula>
    </cfRule>
    <cfRule type="expression" dxfId="381" priority="74">
      <formula>OR(ISNUMBER(SEARCH("objective = 3     Preliminary score = 1", $K$28)),ISNUMBER(SEARCH("objective = 3     Preliminary score = 0", $K$28)),ISNUMBER(SEARCH("objective = 1     Preliminary score = 2", $K$28)),ISNUMBER(SEARCH("objective = 1     Preliminary score = 3", $K$28)),ISNUMBER(SEARCH("objective = 0     Preliminary score = 1", $K$28)),ISNUMBER(SEARCH("objective = 0     Preliminary score = 2", $K$28)),ISNUMBER(SEARCH("objective = 0     Preliminary score = 3", $K$28)),ISNUMBER(SEARCH("Old score = 3          Preliminary score = 1", $K$28)),ISNUMBER(SEARCH("Old score = 3          Preliminary score = 0", $K$28)),ISNUMBER(SEARCH("Old score = 1          Preliminary score = 2", $K$28)),ISNUMBER(SEARCH("Old score = 1          Preliminary score = 3", $K$28)),ISNUMBER(SEARCH("Old score = 0          Preliminary score = 1", $K$28)),ISNUMBER(SEARCH("Old score = 0          Preliminary score = 2", $K$28)),ISNUMBER(SEARCH("Old score = 0          Preliminary score = 3", $K$28)))</formula>
    </cfRule>
    <cfRule type="expression" dxfId="380" priority="105">
      <formula>OR(ISNUMBER(SEARCH("objective = 2     Preliminary score = 1", $K$28)),ISNUMBER(SEARCH("objective = 2     Preliminary score = 0", $K$28)),ISNUMBER(SEARCH("objective = 1     Preliminary score = 1", $K$28)),ISNUMBER(SEARCH("objective = 1     Preliminary score = 0", $K$28)),ISNUMBER(SEARCH("objective = 0     Preliminary score = 0", $K$28)),ISNUMBER(SEARCH("Old score = 2          Preliminary score = 1", $K$28)),ISNUMBER(SEARCH("Old score = 2          Preliminary score = 0", $K$28)),ISNUMBER(SEARCH("Old score = 1          Preliminary score = 1", $K$28)),ISNUMBER(SEARCH("score = 1          Preliminary score = 0", $K$28)),ISNUMBER(SEARCH("score = 0          Preliminary score = 0", $K$28)))</formula>
    </cfRule>
  </conditionalFormatting>
  <conditionalFormatting sqref="K29">
    <cfRule type="expression" dxfId="379" priority="42">
      <formula>OR(ISNUMBER(SEARCH("objective = 3     Preliminary score = 3",$K$29)),ISNUMBER(SEARCH("objective = 3     Preliminary score = 2",$K$29)),ISNUMBER(SEARCH("objective = 2     Preliminary score = 3",$K$29)),ISNUMBER(SEARCH("objective = 2     Preliminary score = 2",$K$29)),ISNUMBER(SEARCH("Old score = 3          Preliminary score = 3",$K$29)),ISNUMBER(SEARCH("Old score = 3          Preliminary score = 2",$K$29)),ISNUMBER(SEARCH("Old score = 2          Preliminary score = 3",$K$29)),ISNUMBER(SEARCH("Old score = 2          Preliminary score = 2",$K$29)))</formula>
    </cfRule>
    <cfRule type="expression" dxfId="378" priority="73">
      <formula>OR(ISNUMBER(SEARCH("objective = 3     Preliminary score = 1", $K$29)),ISNUMBER(SEARCH("objective = 3     Preliminary score = 0", $K$29)),ISNUMBER(SEARCH("objective = 1     Preliminary score = 2", $K$29)),ISNUMBER(SEARCH("objective = 1     Preliminary score = 3", $K$29)),ISNUMBER(SEARCH("objective = 0     Preliminary score = 1", $K$29)),ISNUMBER(SEARCH("objective = 0     Preliminary score = 2", $K$29)),ISNUMBER(SEARCH("objective = 0     Preliminary score = 3", $K$29)),ISNUMBER(SEARCH("Old score = 3          Preliminary score = 1", $K$29)),ISNUMBER(SEARCH("Old score = 3          Preliminary score = 0", $K$29)),ISNUMBER(SEARCH("Old score = 1          Preliminary score = 2", $K$29)),ISNUMBER(SEARCH("Old score = 1          Preliminary score = 3", $K$29)),ISNUMBER(SEARCH("Old score = 0          Preliminary score = 1", $K$29)),ISNUMBER(SEARCH("Old score = 0          Preliminary score = 2", $K$29)),ISNUMBER(SEARCH("Old score = 0          Preliminary score = 3", $K$29)))</formula>
    </cfRule>
    <cfRule type="expression" dxfId="377" priority="106">
      <formula>OR(ISNUMBER(SEARCH("objective = 2     Preliminary score = 1", $K$29)),ISNUMBER(SEARCH("objective = 2     Preliminary score = 0", $K$29)),ISNUMBER(SEARCH("objective = 1     Preliminary score = 1", $K$29)),ISNUMBER(SEARCH("objective = 1     Preliminary score = 0", $K$29)),ISNUMBER(SEARCH("objective = 0     Preliminary score = 0", $K$29)),ISNUMBER(SEARCH("Old score = 2          Preliminary score = 1", $K$29)),ISNUMBER(SEARCH("Old score = 2          Preliminary score = 0", $K$29)),ISNUMBER(SEARCH("Old score = 1          Preliminary score = 1", $K$29)),ISNUMBER(SEARCH("score = 1          Preliminary score = 0", $K$29)),ISNUMBER(SEARCH("score = 0          Preliminary score = 0", $K$29)))</formula>
    </cfRule>
  </conditionalFormatting>
  <conditionalFormatting sqref="K32">
    <cfRule type="expression" dxfId="376" priority="39">
      <formula>OR(ISNUMBER(SEARCH("objective = 3     Preliminary score = 3",$K$32)),ISNUMBER(SEARCH("objective = 3     Preliminary score = 2",$K$32)),ISNUMBER(SEARCH("objective = 2     Preliminary score = 3",$K$32)),ISNUMBER(SEARCH("objective = 2     Preliminary score = 2",$K$32)),ISNUMBER(SEARCH("Old score = 3          Preliminary score = 3",$K$32)),ISNUMBER(SEARCH("Old score = 3          Preliminary score = 2",$K$32)),ISNUMBER(SEARCH("Old score = 2          Preliminary score = 3",$K$32)),ISNUMBER(SEARCH("Old score = 2          Preliminary score = 2",$K$32)))</formula>
    </cfRule>
    <cfRule type="expression" dxfId="375" priority="70">
      <formula>OR(ISNUMBER(SEARCH("objective = 3     Preliminary score = 1", $K$32)),ISNUMBER(SEARCH("objective = 3     Preliminary score = 0", $K$32)),ISNUMBER(SEARCH("objective = 1     Preliminary score = 2", $K$32)),ISNUMBER(SEARCH("objective = 1     Preliminary score = 3", $K$32)),ISNUMBER(SEARCH("objective = 0     Preliminary score = 1", $K$32)),ISNUMBER(SEARCH("objective = 0     Preliminary score = 2", $K$32)),ISNUMBER(SEARCH("objective = 0     Preliminary score = 3", $K$32)),ISNUMBER(SEARCH("Old score = 3          Preliminary score = 1", $K$32)),ISNUMBER(SEARCH("Old score = 3          Preliminary score = 0", $K$32)),ISNUMBER(SEARCH("Old score = 1          Preliminary score = 2", $K$32)),ISNUMBER(SEARCH("Old score = 1          Preliminary score = 3", $K$32)),ISNUMBER(SEARCH("Old score = 0          Preliminary score = 1", $K$32)),ISNUMBER(SEARCH("Old score = 0          Preliminary score = 2", $K$32)),ISNUMBER(SEARCH("Old score = 0          Preliminary score = 3", $K$32)))</formula>
    </cfRule>
    <cfRule type="expression" dxfId="374" priority="101">
      <formula>OR(ISNUMBER(SEARCH("objective = 2     Preliminary score = 1", $K$32)),ISNUMBER(SEARCH("objective = 2     Preliminary score = 0", $K$32)),ISNUMBER(SEARCH("objective = 1     Preliminary score = 1", $K$32)),ISNUMBER(SEARCH("objective = 1     Preliminary score = 0", $K$32)),ISNUMBER(SEARCH("objective = 0     Preliminary score = 0", $K$32)),ISNUMBER(SEARCH("Old score = 2          Preliminary score = 1", $K$32)),ISNUMBER(SEARCH("Old score = 2          Preliminary score = 0", $K$32)),ISNUMBER(SEARCH("Old score = 1          Preliminary score = 1", $K$32)),ISNUMBER(SEARCH("score = 1          Preliminary score = 0", $K$32)),ISNUMBER(SEARCH("score = 0          Preliminary score = 0", $K$32)))</formula>
    </cfRule>
  </conditionalFormatting>
  <conditionalFormatting sqref="K33">
    <cfRule type="expression" dxfId="373" priority="38">
      <formula>OR(ISNUMBER(SEARCH("objective = 3     Preliminary score = 3",$K$33)),ISNUMBER(SEARCH("objective = 3     Preliminary score = 2",$K$33)),ISNUMBER(SEARCH("objective = 2     Preliminary score = 3",$K$33)),ISNUMBER(SEARCH("objective = 2     Preliminary score = 2",$K$33)),ISNUMBER(SEARCH("Old score = 3          Preliminary score = 3",$K$33)),ISNUMBER(SEARCH("Old score = 3          Preliminary score = 2",$K$33)),ISNUMBER(SEARCH("Old score = 2          Preliminary score = 3",$K$33)),ISNUMBER(SEARCH("Old score = 2          Preliminary score = 2",$K$33)))</formula>
    </cfRule>
    <cfRule type="expression" dxfId="372" priority="69">
      <formula>OR(ISNUMBER(SEARCH("objective = 3     Preliminary score = 1", $K$33)),ISNUMBER(SEARCH("objective = 3     Preliminary score = 0", $K$33)),ISNUMBER(SEARCH("objective = 1     Preliminary score = 2", $K$33)),ISNUMBER(SEARCH("objective = 1     Preliminary score = 3", $K$33)),ISNUMBER(SEARCH("objective = 0     Preliminary score = 1", $K$33)),ISNUMBER(SEARCH("objective = 0     Preliminary score = 2", $K$33)),ISNUMBER(SEARCH("objective = 0     Preliminary score = 3", $K$33)),ISNUMBER(SEARCH("Old score = 3          Preliminary score = 1", $K$33)),ISNUMBER(SEARCH("Old score = 3          Preliminary score = 0", $K$33)),ISNUMBER(SEARCH("Old score = 1          Preliminary score = 2", $K$33)),ISNUMBER(SEARCH("Old score = 1          Preliminary score = 3", $K$33)),ISNUMBER(SEARCH("Old score = 0          Preliminary score = 1", $K$33)),ISNUMBER(SEARCH("Old score = 0          Preliminary score = 2", $K$33)),ISNUMBER(SEARCH("Old score = 0          Preliminary score = 3", $K$33)))</formula>
    </cfRule>
    <cfRule type="expression" dxfId="371" priority="100">
      <formula>OR(ISNUMBER(SEARCH("objective = 2     Preliminary score = 1", $K$33)),ISNUMBER(SEARCH("objective = 2     Preliminary score = 0", $K$33)),ISNUMBER(SEARCH("objective = 1     Preliminary score = 1", $K$33)),ISNUMBER(SEARCH("objective = 1     Preliminary score = 0", $K$33)),ISNUMBER(SEARCH("objective = 0     Preliminary score = 0", $K$33)),ISNUMBER(SEARCH("Old score = 2          Preliminary score = 1", $K$33)),ISNUMBER(SEARCH("Old score = 2          Preliminary score = 0", $K$33)),ISNUMBER(SEARCH("Old score = 1          Preliminary score = 1", $K$33)),ISNUMBER(SEARCH("score = 1          Preliminary score = 0", $K$33)),ISNUMBER(SEARCH("score = 0          Preliminary score = 0", $K$33)))</formula>
    </cfRule>
  </conditionalFormatting>
  <conditionalFormatting sqref="K38">
    <cfRule type="expression" dxfId="370" priority="33">
      <formula>OR(ISNUMBER(SEARCH("objective = 3     Preliminary score = 3",$K$38)),ISNUMBER(SEARCH("objective = 3     Preliminary score = 2",$K$38)),ISNUMBER(SEARCH("objective = 2     Preliminary score = 3",$K$38)),ISNUMBER(SEARCH("objective = 2     Preliminary score = 2",$K$38)),ISNUMBER(SEARCH("Old score = 3          Preliminary score = 3",$K$38)),ISNUMBER(SEARCH("Old score = 3          Preliminary score = 2",$K$38)),ISNUMBER(SEARCH("Old score = 2          Preliminary score = 3",$K$38)),ISNUMBER(SEARCH("Old score = 2          Preliminary score = 2",$K$38)))</formula>
    </cfRule>
    <cfRule type="expression" dxfId="369" priority="64">
      <formula>OR(ISNUMBER(SEARCH("objective = 3     Preliminary score = 1", $K$38)),ISNUMBER(SEARCH("objective = 3     Preliminary score = 0", $K$38)),ISNUMBER(SEARCH("objective = 1     Preliminary score = 2", $K$38)),ISNUMBER(SEARCH("objective = 1     Preliminary score = 3", $K$38)),ISNUMBER(SEARCH("objective = 0     Preliminary score = 1", $K$38)),ISNUMBER(SEARCH("objective = 0     Preliminary score = 2", $K$38)),ISNUMBER(SEARCH("objective = 0     Preliminary score = 3", $K$38)),ISNUMBER(SEARCH("Old score = 3          Preliminary score = 1", $K$38)),ISNUMBER(SEARCH("Old score = 3          Preliminary score = 0", $K$38)),ISNUMBER(SEARCH("Old score = 1          Preliminary score = 2", $K$38)),ISNUMBER(SEARCH("Old score = 1          Preliminary score = 3", $K$38)),ISNUMBER(SEARCH("Old score = 0          Preliminary score = 1", $K$38)),ISNUMBER(SEARCH("Old score = 0          Preliminary score = 2", $K$38)),ISNUMBER(SEARCH("Old score = 0          Preliminary score = 3", $K$38)))</formula>
    </cfRule>
    <cfRule type="expression" dxfId="368" priority="95">
      <formula>OR(ISNUMBER(SEARCH("objective = 2     Preliminary score = 1", $K$38)),ISNUMBER(SEARCH("objective = 2     Preliminary score = 0", $K$38)),ISNUMBER(SEARCH("objective = 1     Preliminary score = 1", $K$38)),ISNUMBER(SEARCH("objective = 1     Preliminary score = 0", $K$38)),ISNUMBER(SEARCH("objective = 0     Preliminary score = 0", $K$38)),ISNUMBER(SEARCH("Old score = 2          Preliminary score = 1", $K$38)),ISNUMBER(SEARCH("Old score = 2          Preliminary score = 0", $K$38)),ISNUMBER(SEARCH("Old score = 1          Preliminary score = 1", $K$38)),ISNUMBER(SEARCH("score = 1          Preliminary score = 0", $K$38)),ISNUMBER(SEARCH("score = 0          Preliminary score = 0", $K$38)))</formula>
    </cfRule>
  </conditionalFormatting>
  <conditionalFormatting sqref="K40">
    <cfRule type="expression" dxfId="367" priority="31">
      <formula>OR(ISNUMBER(SEARCH("objective = 3     Preliminary score = 3",$K$40)),ISNUMBER(SEARCH("objective = 3     Preliminary score = 2",$K$40)),ISNUMBER(SEARCH("objective = 2     Preliminary score = 3",$K$40)),ISNUMBER(SEARCH("objective = 2     Preliminary score = 2",$K$40)),ISNUMBER(SEARCH("Old score = 3          Preliminary score = 3",$K$40)),ISNUMBER(SEARCH("Old score = 3          Preliminary score = 2",$K$40)),ISNUMBER(SEARCH("Old score = 2          Preliminary score = 3",$K$40)),ISNUMBER(SEARCH("Old score = 2          Preliminary score = 2",$K$40)))</formula>
    </cfRule>
    <cfRule type="expression" dxfId="366" priority="62">
      <formula>OR(ISNUMBER(SEARCH("objective = 3     Preliminary score = 1", $K$40)),ISNUMBER(SEARCH("objective = 3     Preliminary score = 0", $K$40)),ISNUMBER(SEARCH("objective = 1     Preliminary score = 2", $K$40)),ISNUMBER(SEARCH("objective = 1     Preliminary score = 3", $K$40)),ISNUMBER(SEARCH("objective = 0     Preliminary score = 1", $K$40)),ISNUMBER(SEARCH("objective = 0     Preliminary score = 2", $K$40)),ISNUMBER(SEARCH("objective = 0     Preliminary score = 3", $K$40)),ISNUMBER(SEARCH("Old score = 3          Preliminary score = 1", $K$40)),ISNUMBER(SEARCH("Old score = 3          Preliminary score = 0", $K$40)),ISNUMBER(SEARCH("Old score = 1          Preliminary score = 2", $K$40)),ISNUMBER(SEARCH("Old score = 1          Preliminary score = 3", $K$40)),ISNUMBER(SEARCH("Old score = 0          Preliminary score = 1", $K$40)),ISNUMBER(SEARCH("Old score = 0          Preliminary score = 2", $K$40)),ISNUMBER(SEARCH("Old score = 0          Preliminary score = 3", $K$40)))</formula>
    </cfRule>
    <cfRule type="expression" dxfId="365" priority="93">
      <formula>OR(ISNUMBER(SEARCH("objective = 2     Preliminary score = 1", $K$40)),ISNUMBER(SEARCH("objective = 2     Preliminary score = 0", $K$40)),ISNUMBER(SEARCH("objective = 1     Preliminary score = 1", $K$40)),ISNUMBER(SEARCH("objective = 1     Preliminary score = 0", $K$40)),ISNUMBER(SEARCH("objective = 0     Preliminary score = 0", $K$40)),ISNUMBER(SEARCH("Old score = 2          Preliminary score = 1", $K$40)),ISNUMBER(SEARCH("Old score = 2          Preliminary score = 0", $K$40)),ISNUMBER(SEARCH("Old score = 1          Preliminary score = 1", $K$40)),ISNUMBER(SEARCH("score = 1          Preliminary score = 0", $K$40)),ISNUMBER(SEARCH("score = 0          Preliminary score = 0", $K$40)))</formula>
    </cfRule>
  </conditionalFormatting>
  <conditionalFormatting sqref="K41">
    <cfRule type="expression" dxfId="364" priority="30">
      <formula>OR(ISNUMBER(SEARCH("objective = 3     Preliminary score = 3",$K$41)),ISNUMBER(SEARCH("objective = 3     Preliminary score = 2",$K$41)),ISNUMBER(SEARCH("objective = 2     Preliminary score = 3",$K$41)),ISNUMBER(SEARCH("objective = 2     Preliminary score = 2",$K$41)),ISNUMBER(SEARCH("Old score = 3          Preliminary score = 3",$K$41)),ISNUMBER(SEARCH("Old score = 3          Preliminary score = 2",$K$41)),ISNUMBER(SEARCH("Old score = 2          Preliminary score = 3",$K$41)),ISNUMBER(SEARCH("Old score = 2          Preliminary score = 2",$K$41)))</formula>
    </cfRule>
    <cfRule type="expression" dxfId="363" priority="61">
      <formula>OR(ISNUMBER(SEARCH("objective = 3     Preliminary score = 1", $K$41)),ISNUMBER(SEARCH("objective = 3     Preliminary score = 0", $K$41)),ISNUMBER(SEARCH("objective = 1     Preliminary score = 2", $K$41)),ISNUMBER(SEARCH("objective = 1     Preliminary score = 3", $K$41)),ISNUMBER(SEARCH("objective = 0     Preliminary score = 1", $K$41)),ISNUMBER(SEARCH("objective = 0     Preliminary score = 2", $K$41)),ISNUMBER(SEARCH("objective = 0     Preliminary score = 3", $K$41)),ISNUMBER(SEARCH("Old score = 3          Preliminary score = 1", $K$41)),ISNUMBER(SEARCH("Old score = 3          Preliminary score = 0", $K$41)),ISNUMBER(SEARCH("Old score = 1          Preliminary score = 2", $K$41)),ISNUMBER(SEARCH("Old score = 1          Preliminary score = 3", $K$41)),ISNUMBER(SEARCH("Old score = 0          Preliminary score = 1", $K$41)),ISNUMBER(SEARCH("Old score = 0          Preliminary score = 2", $K$41)),ISNUMBER(SEARCH("Old score = 0          Preliminary score = 3", $K$41)))</formula>
    </cfRule>
    <cfRule type="expression" dxfId="362" priority="92">
      <formula>OR(ISNUMBER(SEARCH("objective = 2     Preliminary score = 1", $K$41)),ISNUMBER(SEARCH("objective = 2     Preliminary score = 0", $K$41)),ISNUMBER(SEARCH("objective = 1     Preliminary score = 1", $K$41)),ISNUMBER(SEARCH("objective = 1     Preliminary score = 0", $K$41)),ISNUMBER(SEARCH("objective = 0     Preliminary score = 0", $K$41)),ISNUMBER(SEARCH("Old score = 2          Preliminary score = 1", $K$41)),ISNUMBER(SEARCH("Old score = 2          Preliminary score = 0", $K$41)),ISNUMBER(SEARCH("Old score = 1          Preliminary score = 1", $K$41)),ISNUMBER(SEARCH("score = 1          Preliminary score = 0", $K$41)),ISNUMBER(SEARCH("score = 0          Preliminary score = 0", $K$41)))</formula>
    </cfRule>
  </conditionalFormatting>
  <conditionalFormatting sqref="K42">
    <cfRule type="expression" dxfId="361" priority="29">
      <formula>OR(ISNUMBER(SEARCH("objective = 3     Preliminary score = 3",$K$42)),ISNUMBER(SEARCH("objective = 3     Preliminary score = 2",$K$42)),ISNUMBER(SEARCH("objective = 2     Preliminary score = 3",$K$42)),ISNUMBER(SEARCH("objective = 2     Preliminary score = 2",$K$42)),ISNUMBER(SEARCH("Old score = 3          Preliminary score = 3",$K$42)),ISNUMBER(SEARCH("Old score = 3          Preliminary score = 2",$K$42)),ISNUMBER(SEARCH("Old score = 2          Preliminary score = 3",$K$42)),ISNUMBER(SEARCH("Old score = 2          Preliminary score = 2",$K$42)))</formula>
    </cfRule>
    <cfRule type="expression" dxfId="360" priority="60">
      <formula>OR(ISNUMBER(SEARCH("objective = 3     Preliminary score = 1", $K$42)),ISNUMBER(SEARCH("objective = 3     Preliminary score = 0", $K$42)),ISNUMBER(SEARCH("objective = 1     Preliminary score = 2", $K$42)),ISNUMBER(SEARCH("objective = 1     Preliminary score = 3", $K$42)),ISNUMBER(SEARCH("objective = 0     Preliminary score = 1", $K$42)),ISNUMBER(SEARCH("objective = 0     Preliminary score = 2", $K$42)),ISNUMBER(SEARCH("objective = 0     Preliminary score = 3", $K$42)),ISNUMBER(SEARCH("Old score = 3          Preliminary score = 1", $K$42)),ISNUMBER(SEARCH("Old score = 3          Preliminary score = 0", $K$42)),ISNUMBER(SEARCH("Old score = 1          Preliminary score = 2", $K$42)),ISNUMBER(SEARCH("Old score = 1          Preliminary score = 3", $K$42)),ISNUMBER(SEARCH("Old score = 0          Preliminary score = 1", $K$42)),ISNUMBER(SEARCH("Old score = 0          Preliminary score = 2", $K$42)),ISNUMBER(SEARCH("Old score = 0          Preliminary score = 3", $K$42)))</formula>
    </cfRule>
    <cfRule type="expression" dxfId="359" priority="91">
      <formula>OR(ISNUMBER(SEARCH("objective = 2     Preliminary score = 1", $K$42)),ISNUMBER(SEARCH("objective = 2     Preliminary score = 0", $K$42)),ISNUMBER(SEARCH("objective = 1     Preliminary score = 1", $K$42)),ISNUMBER(SEARCH("objective = 1     Preliminary score = 0", $K$42)),ISNUMBER(SEARCH("objective = 0     Preliminary score = 0", $K$42)),ISNUMBER(SEARCH("Old score = 2          Preliminary score = 1", $K$42)),ISNUMBER(SEARCH("Old score = 2          Preliminary score = 0", $K$42)),ISNUMBER(SEARCH("Old score = 1          Preliminary score = 1", $K$42)),ISNUMBER(SEARCH("score = 1          Preliminary score = 0", $K$42)),ISNUMBER(SEARCH("score = 0          Preliminary score = 0", $K$42)))</formula>
    </cfRule>
  </conditionalFormatting>
  <conditionalFormatting sqref="K44">
    <cfRule type="expression" dxfId="358" priority="27">
      <formula>OR(ISNUMBER(SEARCH("objective = 3     Preliminary score = 3",$K$44)),ISNUMBER(SEARCH("objective = 3     Preliminary score = 2",$K$44)),ISNUMBER(SEARCH("objective = 2     Preliminary score = 3",$K$44)),ISNUMBER(SEARCH("objective = 2     Preliminary score = 2",$K$44)),ISNUMBER(SEARCH("Old score = 3          Preliminary score = 3",$K$44)),ISNUMBER(SEARCH("Old score = 3          Preliminary score = 2",$K$44)),ISNUMBER(SEARCH("Old score = 2          Preliminary score = 3",$K$44)),ISNUMBER(SEARCH("Old score = 2          Preliminary score = 2",$K$44)))</formula>
    </cfRule>
    <cfRule type="expression" dxfId="357" priority="58">
      <formula>OR(ISNUMBER(SEARCH("objective = 3     Preliminary score = 1", $K$44)),ISNUMBER(SEARCH("objective = 3     Preliminary score = 0", $K$44)),ISNUMBER(SEARCH("objective = 1     Preliminary score = 2", $K$44)),ISNUMBER(SEARCH("objective = 1     Preliminary score = 3", $K$44)),ISNUMBER(SEARCH("objective = 0     Preliminary score = 1", $K$44)),ISNUMBER(SEARCH("objective = 0     Preliminary score = 2", $K$44)),ISNUMBER(SEARCH("objective = 0     Preliminary score = 3", $K$44)),ISNUMBER(SEARCH("Old score = 3          Preliminary score = 1", $K$44)),ISNUMBER(SEARCH("Old score = 3          Preliminary score = 0", $K$44)),ISNUMBER(SEARCH("Old score = 1          Preliminary score = 2", $K$44)),ISNUMBER(SEARCH("Old score = 1          Preliminary score = 3", $K$44)),ISNUMBER(SEARCH("Old score = 0          Preliminary score = 1", $K$44)),ISNUMBER(SEARCH("Old score = 0          Preliminary score = 2", $K$44)),ISNUMBER(SEARCH("Old score = 0          Preliminary score = 3", $K$44)))</formula>
    </cfRule>
    <cfRule type="expression" dxfId="356" priority="89">
      <formula>OR(ISNUMBER(SEARCH("objective = 2     Preliminary score = 1", $K$44)),ISNUMBER(SEARCH("objective = 2     Preliminary score = 0", $K$44)),ISNUMBER(SEARCH("objective = 1     Preliminary score = 1", $K$44)),ISNUMBER(SEARCH("objective = 1     Preliminary score = 0", $K$44)),ISNUMBER(SEARCH("objective = 0     Preliminary score = 0", $K$44)),ISNUMBER(SEARCH("Old score = 2          Preliminary score = 1", $K$44)),ISNUMBER(SEARCH("Old score = 2          Preliminary score = 0", $K$44)),ISNUMBER(SEARCH("Old score = 1          Preliminary score = 1", $K$44)),ISNUMBER(SEARCH("score = 1          Preliminary score = 0", $K$44)),ISNUMBER(SEARCH("score = 0          Preliminary score = 0", $K$44)))</formula>
    </cfRule>
  </conditionalFormatting>
  <conditionalFormatting sqref="K45">
    <cfRule type="expression" dxfId="355" priority="26">
      <formula>OR(ISNUMBER(SEARCH("objective = 3     Preliminary score = 3",$K$45)),ISNUMBER(SEARCH("objective = 3     Preliminary score = 2",$K$45)),ISNUMBER(SEARCH("objective = 2     Preliminary score = 3",$K$45)),ISNUMBER(SEARCH("objective = 2     Preliminary score = 2",$K$45)),ISNUMBER(SEARCH("Old score = 3          Preliminary score = 3",$K$45)),ISNUMBER(SEARCH("Old score = 3          Preliminary score = 2",$K$45)),ISNUMBER(SEARCH("Old score = 2          Preliminary score = 3",$K$45)),ISNUMBER(SEARCH("Old score = 2          Preliminary score = 2",$K$45)))</formula>
    </cfRule>
    <cfRule type="expression" dxfId="354" priority="57">
      <formula>OR(ISNUMBER(SEARCH("objective = 3     Preliminary score = 1", $K$45)),ISNUMBER(SEARCH("objective = 3     Preliminary score = 0", $K$45)),ISNUMBER(SEARCH("objective = 1     Preliminary score = 2", $K$45)),ISNUMBER(SEARCH("objective = 1     Preliminary score = 3", $K$45)),ISNUMBER(SEARCH("objective = 0     Preliminary score = 1", $K$45)),ISNUMBER(SEARCH("objective = 0     Preliminary score = 2", $K$45)),ISNUMBER(SEARCH("objective = 0     Preliminary score = 3", $K$45)),ISNUMBER(SEARCH("Old score = 3          Preliminary score = 1", $K$45)),ISNUMBER(SEARCH("Old score = 3          Preliminary score = 0", $K$45)),ISNUMBER(SEARCH("Old score = 1          Preliminary score = 2", $K$45)),ISNUMBER(SEARCH("Old score = 1          Preliminary score = 3", $K$45)),ISNUMBER(SEARCH("Old score = 0          Preliminary score = 1", $K$45)),ISNUMBER(SEARCH("Old score = 0          Preliminary score = 2", $K$45)),ISNUMBER(SEARCH("Old score = 0          Preliminary score = 3", $K$45)))</formula>
    </cfRule>
    <cfRule type="expression" dxfId="353" priority="88">
      <formula>OR(ISNUMBER(SEARCH("objective = 2     Preliminary score = 1", $K$45)),ISNUMBER(SEARCH("objective = 2     Preliminary score = 0", $K$45)),ISNUMBER(SEARCH("objective = 1     Preliminary score = 1", $K$45)),ISNUMBER(SEARCH("objective = 1     Preliminary score = 0", $K$45)),ISNUMBER(SEARCH("objective = 0     Preliminary score = 0", $K$45)),ISNUMBER(SEARCH("Old score = 2          Preliminary score = 1", $K$45)),ISNUMBER(SEARCH("Old score = 2          Preliminary score = 0", $K$45)),ISNUMBER(SEARCH("Old score = 1          Preliminary score = 1", $K$45)),ISNUMBER(SEARCH("score = 1          Preliminary score = 0", $K$45)),ISNUMBER(SEARCH("score = 0          Preliminary score = 0", $K$45)))</formula>
    </cfRule>
  </conditionalFormatting>
  <conditionalFormatting sqref="K46">
    <cfRule type="expression" dxfId="352" priority="25">
      <formula>OR(ISNUMBER(SEARCH("objective = 3     Preliminary score = 3",$K$46)),ISNUMBER(SEARCH("objective = 3     Preliminary score = 2",$K$46)),ISNUMBER(SEARCH("objective = 2     Preliminary score = 3",$K$46)),ISNUMBER(SEARCH("objective = 2     Preliminary score = 2",$K$46)),ISNUMBER(SEARCH("Old score = 3          Preliminary score = 3",$K$46)),ISNUMBER(SEARCH("Old score = 3          Preliminary score = 2",$K$46)),ISNUMBER(SEARCH("Old score = 2          Preliminary score = 3",$K$46)),ISNUMBER(SEARCH("Old score = 2          Preliminary score = 2",$K$46)))</formula>
    </cfRule>
    <cfRule type="expression" dxfId="351" priority="56">
      <formula>OR(ISNUMBER(SEARCH("objective = 3     Preliminary score = 1", $K$46)),ISNUMBER(SEARCH("objective = 3     Preliminary score = 0", $K$46)),ISNUMBER(SEARCH("objective = 1     Preliminary score = 2", $K$46)),ISNUMBER(SEARCH("objective = 1     Preliminary score = 3", $K$46)),ISNUMBER(SEARCH("objective = 0     Preliminary score = 1", $K$46)),ISNUMBER(SEARCH("objective = 0     Preliminary score = 2", $K$46)),ISNUMBER(SEARCH("objective = 0     Preliminary score = 3", $K$46)),ISNUMBER(SEARCH("Old score = 3          Preliminary score = 1", $K$46)),ISNUMBER(SEARCH("Old score = 3          Preliminary score = 0", $K$46)),ISNUMBER(SEARCH("Old score = 1          Preliminary score = 2", $K$46)),ISNUMBER(SEARCH("Old score = 1          Preliminary score = 3", $K$46)),ISNUMBER(SEARCH("Old score = 0          Preliminary score = 1", $K$46)),ISNUMBER(SEARCH("Old score = 0          Preliminary score = 2", $K$46)),ISNUMBER(SEARCH("Old score = 0          Preliminary score = 3", $K$46)))</formula>
    </cfRule>
    <cfRule type="expression" dxfId="350" priority="87">
      <formula>OR(ISNUMBER(SEARCH("objective = 2     Preliminary score = 1", $K$46)),ISNUMBER(SEARCH("objective = 2     Preliminary score = 0", $K$46)),ISNUMBER(SEARCH("objective = 1     Preliminary score = 1", $K$46)),ISNUMBER(SEARCH("objective = 1     Preliminary score = 0", $K$46)),ISNUMBER(SEARCH("objective = 0     Preliminary score = 0", $K$46)),ISNUMBER(SEARCH("Old score = 2          Preliminary score = 1", $K$46)),ISNUMBER(SEARCH("Old score = 2          Preliminary score = 0", $K$46)),ISNUMBER(SEARCH("Old score = 1          Preliminary score = 1", $K$46)),ISNUMBER(SEARCH("score = 1          Preliminary score = 0", $K$46)),ISNUMBER(SEARCH("score = 0          Preliminary score = 0", $K$46)))</formula>
    </cfRule>
  </conditionalFormatting>
  <conditionalFormatting sqref="K47">
    <cfRule type="expression" dxfId="349" priority="24">
      <formula>OR(ISNUMBER(SEARCH("objective = 3     Preliminary score = 3",$K$47)),ISNUMBER(SEARCH("objective = 3     Preliminary score = 2",$K$47)),ISNUMBER(SEARCH("objective = 2     Preliminary score = 3",$K$47)),ISNUMBER(SEARCH("objective = 2     Preliminary score = 2",$K$47)),ISNUMBER(SEARCH("Old score = 3          Preliminary score = 3",$K$47)),ISNUMBER(SEARCH("Old score = 3          Preliminary score = 2",$K$47)),ISNUMBER(SEARCH("Old score = 2          Preliminary score = 3",$K$47)),ISNUMBER(SEARCH("Old score = 2          Preliminary score = 2",$K$47)))</formula>
    </cfRule>
    <cfRule type="expression" dxfId="348" priority="55">
      <formula>OR(ISNUMBER(SEARCH("objective = 3     Preliminary score = 1", $K$47)),ISNUMBER(SEARCH("objective = 3     Preliminary score = 0", $K$47)),ISNUMBER(SEARCH("objective = 1     Preliminary score = 2", $K$47)),ISNUMBER(SEARCH("objective = 1     Preliminary score = 3", $K$47)),ISNUMBER(SEARCH("objective = 0     Preliminary score = 1", $K$47)),ISNUMBER(SEARCH("objective = 0     Preliminary score = 2", $K$47)),ISNUMBER(SEARCH("objective = 0     Preliminary score = 3", $K$47)),ISNUMBER(SEARCH("Old score = 3          Preliminary score = 1", $K$47)),ISNUMBER(SEARCH("Old score = 3          Preliminary score = 0", $K$47)),ISNUMBER(SEARCH("Old score = 1          Preliminary score = 2", $K$47)),ISNUMBER(SEARCH("Old score = 1          Preliminary score = 3", $K$47)),ISNUMBER(SEARCH("Old score = 0          Preliminary score = 1", $K$47)),ISNUMBER(SEARCH("Old score = 0          Preliminary score = 2", $K$47)),ISNUMBER(SEARCH("Old score = 0          Preliminary score = 3", $K$47)))</formula>
    </cfRule>
    <cfRule type="expression" dxfId="347" priority="86">
      <formula>OR(ISNUMBER(SEARCH("objective = 2     Preliminary score = 1", $K$47)),ISNUMBER(SEARCH("objective = 2     Preliminary score = 0", $K$47)),ISNUMBER(SEARCH("objective = 1     Preliminary score = 1", $K$47)),ISNUMBER(SEARCH("objective = 1     Preliminary score = 0", $K$47)),ISNUMBER(SEARCH("objective = 0     Preliminary score = 0", $K$47)),ISNUMBER(SEARCH("Old score = 2          Preliminary score = 1", $K$47)),ISNUMBER(SEARCH("Old score = 2          Preliminary score = 0", $K$47)),ISNUMBER(SEARCH("Old score = 1          Preliminary score = 1", $K$47)),ISNUMBER(SEARCH("score = 1          Preliminary score = 0", $K$47)),ISNUMBER(SEARCH("score = 0          Preliminary score = 0", $K$47)))</formula>
    </cfRule>
  </conditionalFormatting>
  <conditionalFormatting sqref="K50">
    <cfRule type="expression" dxfId="346" priority="21">
      <formula>OR(ISNUMBER(SEARCH("objective = 3     Preliminary score = 3",$K$50)),ISNUMBER(SEARCH("objective = 3     Preliminary score = 2",$K$50)),ISNUMBER(SEARCH("objective = 2     Preliminary score = 3",$K$50)),ISNUMBER(SEARCH("objective = 2     Preliminary score = 2",$K$50)),ISNUMBER(SEARCH("Old score = 3          Preliminary score = 3",$K$50)),ISNUMBER(SEARCH("Old score = 3          Preliminary score = 2",$K$50)),ISNUMBER(SEARCH("Old score = 2          Preliminary score = 3",$K$50)),ISNUMBER(SEARCH("Old score = 2          Preliminary score = 2",$K$50)))</formula>
    </cfRule>
    <cfRule type="expression" dxfId="345" priority="52">
      <formula>OR(ISNUMBER(SEARCH("objective = 3     Preliminary score = 1", $K$50)),ISNUMBER(SEARCH("objective = 3     Preliminary score = 0", $K$50)),ISNUMBER(SEARCH("objective = 1     Preliminary score = 2", $K$50)),ISNUMBER(SEARCH("objective = 1     Preliminary score = 3", $K$50)),ISNUMBER(SEARCH("objective = 0     Preliminary score = 1", $K$50)),ISNUMBER(SEARCH("objective = 0     Preliminary score = 2", $K$50)),ISNUMBER(SEARCH("objective = 0     Preliminary score = 3", $K$50)),ISNUMBER(SEARCH("Old score = 3          Preliminary score = 1", $K$50)),ISNUMBER(SEARCH("Old score = 3          Preliminary score = 0", $K$50)),ISNUMBER(SEARCH("Old score = 1          Preliminary score = 2", $K$50)),ISNUMBER(SEARCH("Old score = 1          Preliminary score = 3", $K$50)),ISNUMBER(SEARCH("Old score = 0          Preliminary score = 1", $K$50)),ISNUMBER(SEARCH("Old score = 0          Preliminary score = 2", $K$50)),ISNUMBER(SEARCH("Old score = 0          Preliminary score = 3", $K$50)))</formula>
    </cfRule>
    <cfRule type="expression" dxfId="344" priority="83">
      <formula>OR(ISNUMBER(SEARCH("objective = 2     Preliminary score = 1", $K$50)),ISNUMBER(SEARCH("objective = 2     Preliminary score = 0", $K$50)),ISNUMBER(SEARCH("objective = 1     Preliminary score = 1", $K$50)),ISNUMBER(SEARCH("objective = 1     Preliminary score = 0", $K$50)),ISNUMBER(SEARCH("objective = 0     Preliminary score = 0", $K$50)),ISNUMBER(SEARCH("Old score = 2          Preliminary score = 1", $K$50)),ISNUMBER(SEARCH("Old score = 2          Preliminary score = 0", $K$50)),ISNUMBER(SEARCH("Old score = 1          Preliminary score = 1", $K$50)),ISNUMBER(SEARCH("score = 1          Preliminary score = 0", $K$50)),ISNUMBER(SEARCH("score = 0          Preliminary score = 0", $K$50)))</formula>
    </cfRule>
  </conditionalFormatting>
  <conditionalFormatting sqref="K51">
    <cfRule type="expression" dxfId="343" priority="20">
      <formula>OR(ISNUMBER(SEARCH("objective = 3     Preliminary score = 3",$K$51)),ISNUMBER(SEARCH("objective = 3     Preliminary score = 2",$K$51)),ISNUMBER(SEARCH("objective = 2     Preliminary score = 3",$K$51)),ISNUMBER(SEARCH("objective = 2     Preliminary score = 2",$K$51)),ISNUMBER(SEARCH("Old score = 3          Preliminary score = 3",$K$51)),ISNUMBER(SEARCH("Old score = 3          Preliminary score = 2",$K$51)),ISNUMBER(SEARCH("Old score = 2          Preliminary score = 3",$K$51)),ISNUMBER(SEARCH("Old score = 2          Preliminary score = 2",$K$51)))</formula>
    </cfRule>
    <cfRule type="expression" dxfId="342" priority="51">
      <formula>OR(ISNUMBER(SEARCH("objective = 3     Preliminary score = 1", $K$51)),ISNUMBER(SEARCH("objective = 3     Preliminary score = 0", $K$51)),ISNUMBER(SEARCH("objective = 1     Preliminary score = 2", $K$51)),ISNUMBER(SEARCH("objective = 1     Preliminary score = 3", $K$51)),ISNUMBER(SEARCH("objective = 0     Preliminary score = 1", $K$51)),ISNUMBER(SEARCH("objective = 0     Preliminary score = 2", $K$51)),ISNUMBER(SEARCH("objective = 0     Preliminary score = 3", $K$51)),ISNUMBER(SEARCH("Old score = 3          Preliminary score = 1", $K$51)),ISNUMBER(SEARCH("Old score = 3          Preliminary score = 0", $K$51)),ISNUMBER(SEARCH("Old score = 1          Preliminary score = 2", $K$51)),ISNUMBER(SEARCH("Old score = 1          Preliminary score = 3", $K$51)),ISNUMBER(SEARCH("Old score = 0          Preliminary score = 1", $K$51)),ISNUMBER(SEARCH("Old score = 0          Preliminary score = 2", $K$51)),ISNUMBER(SEARCH("Old score = 0          Preliminary score = 3", $K$51)))</formula>
    </cfRule>
    <cfRule type="expression" dxfId="341" priority="82">
      <formula>OR(ISNUMBER(SEARCH("objective = 2     Preliminary score = 1", $K$51)),ISNUMBER(SEARCH("objective = 2     Preliminary score = 0", $K$51)),ISNUMBER(SEARCH("objective = 1     Preliminary score = 1", $K$51)),ISNUMBER(SEARCH("objective = 1     Preliminary score = 0", $K$51)),ISNUMBER(SEARCH("objective = 0     Preliminary score = 0", $K$51)),ISNUMBER(SEARCH("Old score = 2          Preliminary score = 1", $K$51)),ISNUMBER(SEARCH("Old score = 2          Preliminary score = 0", $K$51)),ISNUMBER(SEARCH("Old score = 1          Preliminary score = 1", $K$51)),ISNUMBER(SEARCH("score = 1          Preliminary score = 0", $K$51)),ISNUMBER(SEARCH("score = 0          Preliminary score = 0", $K$51)))</formula>
    </cfRule>
  </conditionalFormatting>
  <conditionalFormatting sqref="K53">
    <cfRule type="expression" dxfId="340" priority="18">
      <formula>OR(ISNUMBER(SEARCH("objective = 3     Preliminary score = 3",$K$53)),ISNUMBER(SEARCH("objective = 3     Preliminary score = 2",$K$53)),ISNUMBER(SEARCH("objective = 2     Preliminary score = 3",$K$53)),ISNUMBER(SEARCH("objective = 2     Preliminary score = 2",$K$53)),ISNUMBER(SEARCH("Old score = 3          Preliminary score = 3",$K$53)),ISNUMBER(SEARCH("Old score = 3          Preliminary score = 2",$K$53)),ISNUMBER(SEARCH("Old score = 2          Preliminary score = 3",$K$53)),ISNUMBER(SEARCH("Old score = 2          Preliminary score = 2",$K$53)))</formula>
    </cfRule>
    <cfRule type="expression" dxfId="339" priority="49">
      <formula>OR(ISNUMBER(SEARCH("objective = 3     Preliminary score = 1", $K$53)),ISNUMBER(SEARCH("objective = 3     Preliminary score = 0", $K$53)),ISNUMBER(SEARCH("objective = 1     Preliminary score = 2", $K$53)),ISNUMBER(SEARCH("objective = 1     Preliminary score = 3", $K$53)),ISNUMBER(SEARCH("objective = 0     Preliminary score = 1", $K$53)),ISNUMBER(SEARCH("objective = 0     Preliminary score = 2", $K$53)),ISNUMBER(SEARCH("objective = 0     Preliminary score = 3", $K$53)),ISNUMBER(SEARCH("Old score = 3          Preliminary score = 1", $K$53)),ISNUMBER(SEARCH("Old score = 3          Preliminary score = 0", $K$53)),ISNUMBER(SEARCH("Old score = 1          Preliminary score = 2", $K$53)),ISNUMBER(SEARCH("Old score = 1          Preliminary score = 3", $K$53)),ISNUMBER(SEARCH("Old score = 0          Preliminary score = 1", $K$53)),ISNUMBER(SEARCH("Old score = 0          Preliminary score = 2", $K$53)),ISNUMBER(SEARCH("Old score = 0          Preliminary score = 3", $K$53)))</formula>
    </cfRule>
    <cfRule type="expression" dxfId="338" priority="80">
      <formula>OR(ISNUMBER(SEARCH("objective = 2     Preliminary score = 1", $K$53)),ISNUMBER(SEARCH("objective = 2     Preliminary score = 0", $K$53)),ISNUMBER(SEARCH("objective = 1     Preliminary score = 1", $K$53)),ISNUMBER(SEARCH("objective = 1     Preliminary score = 0", $K$53)),ISNUMBER(SEARCH("objective = 0     Preliminary score = 0", $K$53)),ISNUMBER(SEARCH("Old score = 2          Preliminary score = 1", $K$53)),ISNUMBER(SEARCH("Old score = 2          Preliminary score = 0", $K$53)),ISNUMBER(SEARCH("Old score = 1          Preliminary score = 1", $K$53)),ISNUMBER(SEARCH("score = 1          Preliminary score = 0", $K$53)),ISNUMBER(SEARCH("score = 0          Preliminary score = 0", $K$53)))</formula>
    </cfRule>
  </conditionalFormatting>
  <conditionalFormatting sqref="K55">
    <cfRule type="expression" dxfId="337" priority="16">
      <formula>OR(ISNUMBER(SEARCH("objective = 3     Preliminary score = 3",$K$55)),ISNUMBER(SEARCH("objective = 3     Preliminary score = 2",$K$55)),ISNUMBER(SEARCH("objective = 2     Preliminary score = 3",$K$55)),ISNUMBER(SEARCH("objective = 2     Preliminary score = 2",$K$55)),ISNUMBER(SEARCH("Old score = 3          Preliminary score = 3",$K$55)),ISNUMBER(SEARCH("Old score = 3          Preliminary score = 2",$K$55)),ISNUMBER(SEARCH("Old score = 2          Preliminary score = 3",$K$55)),ISNUMBER(SEARCH("Old score = 2          Preliminary score = 2",$K$55)))</formula>
    </cfRule>
    <cfRule type="expression" dxfId="336" priority="47">
      <formula>OR(ISNUMBER(SEARCH("objective = 3     Preliminary score = 1", $K$55)),ISNUMBER(SEARCH("objective = 3     Preliminary score = 0", $K$55)),ISNUMBER(SEARCH("objective = 1     Preliminary score = 2", $K$55)),ISNUMBER(SEARCH("objective = 1     Preliminary score = 3", $K$55)),ISNUMBER(SEARCH("objective = 0     Preliminary score = 1", $K$55)),ISNUMBER(SEARCH("objective = 0     Preliminary score = 2", $K$55)),ISNUMBER(SEARCH("objective = 0     Preliminary score = 3", $K$55)),ISNUMBER(SEARCH("Old score = 3          Preliminary score = 1", $K$55)),ISNUMBER(SEARCH("Old score = 3          Preliminary score = 0", $K$55)),ISNUMBER(SEARCH("Old score = 1          Preliminary score = 2", $K$55)),ISNUMBER(SEARCH("Old score = 1          Preliminary score = 3", $K$55)),ISNUMBER(SEARCH("Old score = 0          Preliminary score = 1", $K$55)),ISNUMBER(SEARCH("Old score = 0          Preliminary score = 2", $K$55)),ISNUMBER(SEARCH("Old score = 0          Preliminary score = 3", $K$55)))</formula>
    </cfRule>
    <cfRule type="expression" dxfId="335" priority="78">
      <formula>OR(ISNUMBER(SEARCH("objective = 2     Preliminary score = 1", $K$55)),ISNUMBER(SEARCH("objective = 2     Preliminary score = 0", $K$55)),ISNUMBER(SEARCH("objective = 1     Preliminary score = 1", $K$55)),ISNUMBER(SEARCH("objective = 1     Preliminary score = 0", $K$55)),ISNUMBER(SEARCH("objective = 0     Preliminary score = 0", $K$55)),ISNUMBER(SEARCH("Old score = 2          Preliminary score = 1", $K$55)),ISNUMBER(SEARCH("Old score = 2          Preliminary score = 0", $K$55)),ISNUMBER(SEARCH("Old score = 1          Preliminary score = 1", $K$55)),ISNUMBER(SEARCH("score = 1          Preliminary score = 0", $K$55)),ISNUMBER(SEARCH("score = 0          Preliminary score = 0", $K$55)))</formula>
    </cfRule>
  </conditionalFormatting>
  <conditionalFormatting sqref="G26:G56">
    <cfRule type="expression" dxfId="334" priority="473">
      <formula>AND(COUNTIF($L$26:$L$56,"")&lt;31, COUNTIF($G$26:$G$56,"")&gt;0)</formula>
    </cfRule>
    <cfRule type="containsText" priority="3" stopIfTrue="1" operator="containsText" text="a">
      <formula>NOT(ISERROR(SEARCH("a",G26)))</formula>
    </cfRule>
  </conditionalFormatting>
  <pageMargins left="0.25" right="0.25" top="0.75" bottom="0.75" header="0.3" footer="0.3"/>
  <pageSetup paperSize="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8" id="{00000000-000E-0000-0300-000003000000}">
            <xm:f>OR(AND(EN_PF_YearY!$D$20&lt;&gt;"",$D$20&lt;&gt;"",EN_PF_YearY!$D$20=$D$20),AND($D$20&lt;&gt;"",EN_PF_YearZ!$D$20&lt;&gt;"",$D$20=EN_PF_YearZ!$D$20),AND($D$20="",OR(SUMPRODUCT(--($G$26:G56&lt;&gt;""))=31,SUMPRODUCT(--($L$26:$L$56&lt;&gt;""))=31)), AND(OR($D$20="Year 3",$J$14=3), EN_PF_YearY!$D$20&lt;&gt;"Year 2", EN_PF_YearY!$J$14&lt;&gt;2, EN_PF_YearZ!$D$20&lt;&gt;"Year 2", EN_PF_YearZ!$J$14&lt;&gt;2, OR(EN_PF_YearY!$D$20="Year 1", EN_PF_YearY!$J$14=1, EN_PF_YearZ!$D$20="Year 1", EN_PF_YearZ!$J$14=1)))</xm:f>
            <x14:dxf>
              <font>
                <color rgb="FFA50021"/>
              </font>
              <fill>
                <patternFill>
                  <bgColor rgb="FFFFC7CE"/>
                </patternFill>
              </fill>
            </x14:dxf>
          </x14:cfRule>
          <xm:sqref>D20</xm:sqref>
        </x14:conditionalFormatting>
        <x14:conditionalFormatting xmlns:xm="http://schemas.microsoft.com/office/excel/2006/main">
          <x14:cfRule type="expression" priority="5" id="{DC8D9B7B-CA8D-4CD1-85C5-3E6FAFDDAF54}">
            <xm:f>OR(AND($D$14&lt;&gt;"",EN_PF_YearY!$D$14&lt;&gt;"",$D$14&lt;&gt;EN_PF_YearY!$D$14),AND($D$14&lt;&gt;"",EN_PF_YearZ!$D$14&lt;&gt;"",$D$14&lt;&gt;EN_PF_YearZ!$D$14),AND($D$14="",OR(SUMPRODUCT(--($G$26:G56&lt;&gt;""))=31,SUMPRODUCT(--($L$26:$L$56&lt;&gt;""))=31)))</xm:f>
            <x14:dxf>
              <font>
                <color rgb="FFA50021"/>
              </font>
              <fill>
                <patternFill>
                  <bgColor rgb="FFFFC7CE"/>
                </patternFill>
              </fill>
            </x14:dxf>
          </x14:cfRule>
          <xm:sqref>D14</xm:sqref>
        </x14:conditionalFormatting>
        <x14:conditionalFormatting xmlns:xm="http://schemas.microsoft.com/office/excel/2006/main">
          <x14:cfRule type="expression" priority="466" id="{7D948837-B987-4CF0-B249-BAB37C29F5AC}">
            <xm:f>OR(AND(J14&lt;&gt;"", EN_PF_YearY!J14&lt;&gt;"", J14=EN_PF_YearY!J14), AND(J14&lt;&gt;"", EN_PF_YearZ!J14&lt;&gt;"", J14=EN_PF_YearZ!J14), AND(J14="", $G$20&lt;&gt;"", OR($D$15="", $D$15= "No")))</xm:f>
            <x14:dxf>
              <font>
                <color rgb="FFA50021"/>
              </font>
              <fill>
                <patternFill>
                  <bgColor rgb="FFFFC7CE"/>
                </patternFill>
              </fill>
            </x14:dxf>
          </x14:cfRule>
          <xm:sqref>J14</xm:sqref>
        </x14:conditionalFormatting>
        <x14:conditionalFormatting xmlns:xm="http://schemas.microsoft.com/office/excel/2006/main">
          <x14:cfRule type="expression" priority="6" id="{92F0DB03-1FCF-48B1-B1AD-0F6009DA47E2}">
            <xm:f>OR(OR(AND($D$14&lt;&gt;"",EN_PF_YearZ!$D$14&lt;&gt;"",$D$14&lt;&gt;EN_PF_YearZ!$D$14),AND($D$14&lt;&gt;"",EN_PF_YearY!$D$14&lt;&gt;"",$D$14&lt;&gt;EN_PF_YearY!$D$14),AND($D$14="",OR(SUMPRODUCT(--($G$26:G56&lt;&gt;""))=31,SUMPRODUCT(--($L$26:$L$56&lt;&gt;""))=31))), OR(AND(D15="",COUNTIF($G$26:$G$56,"")&lt;31), AND($D$15&lt;&gt;"",EN_PF_YearZ!$D$15&lt;&gt;"",$D$15&lt;&gt;EN_PF_YearZ!$D$15),AND($D$15&lt;&gt;"",EN_PF_YearY!$D$15&lt;&gt;"",$D$15&lt;&gt;EN_PF_YearY!$D$15),AND($D$15="",OR(SUMPRODUCT(--($G$26:G58&lt;&gt;""))=31,SUMPRODUCT(--($L$26:$L$56&lt;&gt;""))=31))), AND(OR(SUMPRODUCT(--($G$26:$G$56&lt;&gt;""))=31, SUMPRODUCT(--$L$26:$L$56&lt;&gt;""))=31, $D$17="", OR($D$15="", $D$15= "Yes")), OR(AND(EN_PF_YearZ!$D$20&lt;&gt;"",$D$20&lt;&gt;"",EN_PF_YearZ!$D$20=$D$20),AND($D$20&lt;&gt;"",EN_PF_YearY!$D$20&lt;&gt;"",$D$20=EN_PF_YearY!$D$20),AND($D$20="",OR(SUMPRODUCT(--($G$26:G56&lt;&gt;""))=31,SUMPRODUCT(--($L$26:$L$56&lt;&gt;""))=31)), AND(OR($D$20="Year 3",$J$14=3), EN_PF_YearZ!$D$20&lt;&gt;"Year 2", EN_PF_YearZ!$J$14&lt;&gt;2, EN_PF_YearY!$D$20&lt;&gt;"Year 2", EN_PF_YearY!$J$14&lt;&gt;2, OR(EN_PF_YearZ!$D$20="Year 1", EN_PF_YearZ!$J$14=1, EN_PF_YearY!$D$20="Year 1", EN_PF_YearY!$J$14=1))), AND($D$14="No",$D$15="Yes", $D$21=""), AND(OR($D$20="Year 3",$J$14=3), EN_PF_YearZ!$D$20&lt;&gt;"Year 2", EN_PF_YearZ!$J$14&lt;&gt;2, EN_PF_YearY!$D$20&lt;&gt;"Year 2", EN_PF_YearY!$J$14&lt;&gt;2, OR(EN_PF_YearZ!$D$20="Year 1", EN_PF_YearZ!$J$14=1, EN_PF_YearY!$D$20="Year 1", EN_PF_YearY!$J$14=1)), AND(COUNTIF($L$26:$L$56,"")&lt;31, COUNTIF($G$26:$G$56,"")&gt;0), AND(J13="", $G$20&lt;&gt;"", OR($D$15="", $D$15= "No")), OR(AND(J14&lt;&gt;"", EN_PF_YearZ!J14&lt;&gt;"", J14=EN_PF_YearZ!J14), AND(J14&lt;&gt;"", EN_PF_YearY!J14&lt;&gt;"", J14=EN_PF_YearY!J14), AND(J14="", $G$20&lt;&gt;"", OR($D$15="", $D$15= "No"))))</xm:f>
            <x14:dxf>
              <font>
                <color theme="1"/>
              </font>
              <fill>
                <patternFill>
                  <fgColor theme="1"/>
                  <bgColor rgb="FFFFFF00"/>
                </patternFill>
              </fill>
              <border>
                <vertical/>
                <horizontal/>
              </border>
            </x14:dxf>
          </x14:cfRule>
          <xm:sqref>G18</xm:sqref>
        </x14:conditionalFormatting>
        <x14:conditionalFormatting xmlns:xm="http://schemas.microsoft.com/office/excel/2006/main">
          <x14:cfRule type="expression" priority="129" id="{DDC2A2BE-C9FF-490F-A9F2-EAE54AAB1879}">
            <xm:f>OR(AND(D15="",COUNTIF($G$26:$G$56,"")&lt;31), AND($D$15&lt;&gt;"",EN_PF_YearY!$D$15&lt;&gt;"",$D$15&lt;&gt;EN_PF_YearY!$D$15),AND($D$15&lt;&gt;"",EN_PF_YearZ!$D$15&lt;&gt;"",$D$15&lt;&gt;EN_PF_YearZ!$D$15),AND($D$15="",OR(SUMPRODUCT(--($G$26:G58&lt;&gt;""))=31,SUMPRODUCT(--($L$26:$L$56&lt;&gt;""))=31)))</xm:f>
            <x14:dxf>
              <font>
                <color rgb="FFA50021"/>
              </font>
              <fill>
                <patternFill>
                  <bgColor rgb="FFFFC7CE"/>
                </patternFill>
              </fill>
            </x14:dxf>
          </x14:cfRule>
          <xm:sqref>D15</xm:sqref>
        </x14:conditionalFormatting>
        <x14:conditionalFormatting xmlns:xm="http://schemas.microsoft.com/office/excel/2006/main">
          <x14:cfRule type="expression" priority="459" id="{7E445F0F-C8E0-4EB1-BEE0-D1CFC4C34ED4}">
            <xm:f>AND(OR($D$20="Year 3",$J$14=3), EN_PF_YearY!$D$20&lt;&gt;"Year 2", EN_PF_YearY!$J$14&lt;&gt;2, EN_PF_YearZ!$D$20&lt;&gt;"Year 2", EN_PF_YearZ!$J$14&lt;&gt;2, OR(EN_PF_YearY!$D$20="Year 1", EN_PF_YearY!$J$14=1, EN_PF_YearZ!$D$20="Year 1", EN_PF_YearZ!$J$14=1))</xm:f>
            <x14:dxf>
              <font>
                <color rgb="FF9C0006"/>
              </font>
              <fill>
                <patternFill>
                  <bgColor rgb="FFFFC7CE"/>
                </patternFill>
              </fill>
            </x14:dxf>
          </x14:cfRule>
          <xm:sqref>L26:L56</xm:sqref>
        </x14:conditionalFormatting>
      </x14:conditionalFormattings>
    </ext>
    <ext xmlns:x14="http://schemas.microsoft.com/office/spreadsheetml/2009/9/main" uri="{CCE6A557-97BC-4b89-ADB6-D9C93CAAB3DF}">
      <x14:dataValidations xmlns:xm="http://schemas.microsoft.com/office/excel/2006/main" count="44">
        <x14:dataValidation type="list" allowBlank="1" showInputMessage="1" showErrorMessage="1" xr:uid="{C5A661AB-4E7F-4D00-A168-CBF50C0E9252}">
          <x14:formula1>
            <xm:f>EN_PF_DROPDOWN!$A$61:$A$62</xm:f>
          </x14:formula1>
          <xm:sqref>D14:D15</xm:sqref>
        </x14:dataValidation>
        <x14:dataValidation type="list" allowBlank="1" showInputMessage="1" showErrorMessage="1" xr:uid="{665043C5-7670-4950-B80A-A5A2B45F6125}">
          <x14:formula1>
            <xm:f>List_CCM_Names!$A$1:$A$125</xm:f>
          </x14:formula1>
          <xm:sqref>D13</xm:sqref>
        </x14:dataValidation>
        <x14:dataValidation type="list" allowBlank="1" showInputMessage="1" showErrorMessage="1" xr:uid="{FBE620DC-5303-449B-9205-4424B9685514}">
          <x14:formula1>
            <xm:f>EN_PF_DROPDOWN!$A$3:$A$6</xm:f>
          </x14:formula1>
          <xm:sqref>L26:L27 L29:L31 L33:L34 L36:L42 L44:L49 L51:L53</xm:sqref>
        </x14:dataValidation>
        <x14:dataValidation type="list" allowBlank="1" showInputMessage="1" showErrorMessage="1" xr:uid="{A1BF971A-3F4E-4ACC-983B-1E3E31451B26}">
          <x14:formula1>
            <xm:f>EN_PF_DROPDOWN!$A$9:$A$11</xm:f>
          </x14:formula1>
          <xm:sqref>D20</xm:sqref>
        </x14:dataValidation>
        <x14:dataValidation type="list" allowBlank="1" showInputMessage="1" showErrorMessage="1" xr:uid="{1EFB5915-51E2-47B0-87A1-743598BDE8D3}">
          <x14:formula1>
            <xm:f>EN_PF_DROPDOWN!$A$15:$A$24</xm:f>
          </x14:formula1>
          <xm:sqref>J13</xm:sqref>
        </x14:dataValidation>
        <x14:dataValidation type="list" allowBlank="1" showInputMessage="1" showErrorMessage="1" xr:uid="{1A38E792-C38A-4276-8D02-3E8AC7AF77FC}">
          <x14:formula1>
            <xm:f>EN_PF_DROPDOWN!$C$3:$C$6</xm:f>
          </x14:formula1>
          <xm:sqref>G26</xm:sqref>
        </x14:dataValidation>
        <x14:dataValidation type="list" allowBlank="1" showInputMessage="1" showErrorMessage="1" xr:uid="{AC071371-CF63-4139-B978-59CF0B4CE0D0}">
          <x14:formula1>
            <xm:f>EN_PF_DROPDOWN!$C$9:$C$12</xm:f>
          </x14:formula1>
          <xm:sqref>G27</xm:sqref>
        </x14:dataValidation>
        <x14:dataValidation type="list" allowBlank="1" showInputMessage="1" showErrorMessage="1" xr:uid="{954CD901-CA13-416B-A038-3A625527074D}">
          <x14:formula1>
            <xm:f>EN_PF_DROPDOWN!$C$15:$C$17</xm:f>
          </x14:formula1>
          <xm:sqref>G28</xm:sqref>
        </x14:dataValidation>
        <x14:dataValidation type="list" allowBlank="1" showInputMessage="1" showErrorMessage="1" xr:uid="{ABAD1796-C8EE-4B15-92C3-53E31FE62040}">
          <x14:formula1>
            <xm:f>EN_PF_DROPDOWN!$C$19:$C$22</xm:f>
          </x14:formula1>
          <xm:sqref>G29</xm:sqref>
        </x14:dataValidation>
        <x14:dataValidation type="list" allowBlank="1" showInputMessage="1" showErrorMessage="1" xr:uid="{B06D68FE-AF60-4136-A38B-389FC7CC8DA9}">
          <x14:formula1>
            <xm:f>EN_PF_DROPDOWN!$C$31:$C$34</xm:f>
          </x14:formula1>
          <xm:sqref>G31</xm:sqref>
        </x14:dataValidation>
        <x14:dataValidation type="list" allowBlank="1" showInputMessage="1" showErrorMessage="1" xr:uid="{3E440153-9BE2-4592-8D01-5296ED17699E}">
          <x14:formula1>
            <xm:f>EN_PF_DROPDOWN!$C$37:$C$38</xm:f>
          </x14:formula1>
          <xm:sqref>G32</xm:sqref>
        </x14:dataValidation>
        <x14:dataValidation type="list" allowBlank="1" showInputMessage="1" showErrorMessage="1" xr:uid="{10990F09-6944-4FEB-A3A6-DC9577A89BA7}">
          <x14:formula1>
            <xm:f>EN_PF_DROPDOWN!$C$41:$C$44</xm:f>
          </x14:formula1>
          <xm:sqref>G33</xm:sqref>
        </x14:dataValidation>
        <x14:dataValidation type="list" allowBlank="1" showInputMessage="1" showErrorMessage="1" xr:uid="{E36BE08E-709A-4670-B45E-6606DB57C3FF}">
          <x14:formula1>
            <xm:f>EN_PF_DROPDOWN!$G$3:$G$6</xm:f>
          </x14:formula1>
          <xm:sqref>G34</xm:sqref>
        </x14:dataValidation>
        <x14:dataValidation type="list" allowBlank="1" showInputMessage="1" showErrorMessage="1" xr:uid="{80799B4D-288E-4B30-9633-25CFA53E20B4}">
          <x14:formula1>
            <xm:f>EN_PF_DROPDOWN!$A$33:$A$35</xm:f>
          </x14:formula1>
          <xm:sqref>J14</xm:sqref>
        </x14:dataValidation>
        <x14:dataValidation type="list" allowBlank="1" showInputMessage="1" showErrorMessage="1" xr:uid="{725ED13A-94F2-48EB-B093-C308448D6746}">
          <x14:formula1>
            <xm:f>EN_PF_DROPDOWN!$G$9:$G$11</xm:f>
          </x14:formula1>
          <xm:sqref>G35</xm:sqref>
        </x14:dataValidation>
        <x14:dataValidation type="list" allowBlank="1" showInputMessage="1" showErrorMessage="1" xr:uid="{E4210696-049E-4848-8F46-F4BE5F972A7D}">
          <x14:formula1>
            <xm:f>EN_PF_DROPDOWN!$G$14:$G$17</xm:f>
          </x14:formula1>
          <xm:sqref>G36</xm:sqref>
        </x14:dataValidation>
        <x14:dataValidation type="list" allowBlank="1" showInputMessage="1" showErrorMessage="1" xr:uid="{1068B384-975C-4418-8CF9-8106C994CC1F}">
          <x14:formula1>
            <xm:f>EN_PF_DROPDOWN!$G$20:$G$23</xm:f>
          </x14:formula1>
          <xm:sqref>G37</xm:sqref>
        </x14:dataValidation>
        <x14:dataValidation type="list" allowBlank="1" showInputMessage="1" showErrorMessage="1" xr:uid="{2EB4998A-99AB-4DA5-8106-15C11460992A}">
          <x14:formula1>
            <xm:f>EN_PF_DROPDOWN!$G$26:$G$29</xm:f>
          </x14:formula1>
          <xm:sqref>G38</xm:sqref>
        </x14:dataValidation>
        <x14:dataValidation type="list" allowBlank="1" showInputMessage="1" showErrorMessage="1" xr:uid="{0FCF5FFA-B2DC-415F-B72F-E931986EB06F}">
          <x14:formula1>
            <xm:f>EN_PF_DROPDOWN!$G$32:$G$35</xm:f>
          </x14:formula1>
          <xm:sqref>G39</xm:sqref>
        </x14:dataValidation>
        <x14:dataValidation type="list" allowBlank="1" showInputMessage="1" showErrorMessage="1" xr:uid="{F113CBA2-5615-4EB6-A7C7-ED0F4EE92276}">
          <x14:formula1>
            <xm:f>EN_PF_DROPDOWN!$G$38:$G$41</xm:f>
          </x14:formula1>
          <xm:sqref>G40</xm:sqref>
        </x14:dataValidation>
        <x14:dataValidation type="list" allowBlank="1" showInputMessage="1" showErrorMessage="1" xr:uid="{E8FD0263-A31F-4A25-A7D8-FFF12AAA317E}">
          <x14:formula1>
            <xm:f>EN_PF_DROPDOWN!$G$44:$G$47</xm:f>
          </x14:formula1>
          <xm:sqref>G41</xm:sqref>
        </x14:dataValidation>
        <x14:dataValidation type="list" allowBlank="1" showInputMessage="1" showErrorMessage="1" xr:uid="{E9055BA0-DDD5-49E0-91F5-788C61A0F7E7}">
          <x14:formula1>
            <xm:f>EN_PF_DROPDOWN!$G$50:$G$53</xm:f>
          </x14:formula1>
          <xm:sqref>G42</xm:sqref>
        </x14:dataValidation>
        <x14:dataValidation type="list" allowBlank="1" showInputMessage="1" showErrorMessage="1" xr:uid="{B433FECB-E64E-4349-9A12-FE1CDD23C568}">
          <x14:formula1>
            <xm:f>EN_PF_DROPDOWN!$K$3:$K$5</xm:f>
          </x14:formula1>
          <xm:sqref>G43</xm:sqref>
        </x14:dataValidation>
        <x14:dataValidation type="list" allowBlank="1" showInputMessage="1" showErrorMessage="1" xr:uid="{034E2984-C52F-4967-A08D-486FCC0A4CFD}">
          <x14:formula1>
            <xm:f>EN_PF_DROPDOWN!$K$8:$K$10</xm:f>
          </x14:formula1>
          <xm:sqref>G44</xm:sqref>
        </x14:dataValidation>
        <x14:dataValidation type="list" allowBlank="1" showInputMessage="1" showErrorMessage="1" xr:uid="{14103BE2-88A3-4D46-A9C1-C76CA7A80760}">
          <x14:formula1>
            <xm:f>EN_PF_DROPDOWN!$K$14:$K$17</xm:f>
          </x14:formula1>
          <xm:sqref>G45</xm:sqref>
        </x14:dataValidation>
        <x14:dataValidation type="list" allowBlank="1" showInputMessage="1" showErrorMessage="1" xr:uid="{F17FCB69-1E37-47D0-BAEA-4736E3862657}">
          <x14:formula1>
            <xm:f>EN_PF_DROPDOWN!$K$20:$K$23</xm:f>
          </x14:formula1>
          <xm:sqref>G46</xm:sqref>
        </x14:dataValidation>
        <x14:dataValidation type="list" allowBlank="1" showInputMessage="1" showErrorMessage="1" xr:uid="{FFB9A884-DEC1-4B8F-938D-F89EFA283DD3}">
          <x14:formula1>
            <xm:f>EN_PF_DROPDOWN!$K$26:$K$29</xm:f>
          </x14:formula1>
          <xm:sqref>G47</xm:sqref>
        </x14:dataValidation>
        <x14:dataValidation type="list" allowBlank="1" showInputMessage="1" showErrorMessage="1" xr:uid="{733E4D76-95B7-4C5D-A68F-AC6FAED0AFA1}">
          <x14:formula1>
            <xm:f>EN_PF_DROPDOWN!$O$3:$O$6</xm:f>
          </x14:formula1>
          <xm:sqref>G48</xm:sqref>
        </x14:dataValidation>
        <x14:dataValidation type="list" allowBlank="1" showInputMessage="1" showErrorMessage="1" xr:uid="{71A1C3D4-88FD-4526-8CC7-AA9C20101C43}">
          <x14:formula1>
            <xm:f>EN_PF_DROPDOWN!$O$9:$O$12</xm:f>
          </x14:formula1>
          <xm:sqref>G49</xm:sqref>
        </x14:dataValidation>
        <x14:dataValidation type="list" allowBlank="1" showInputMessage="1" showErrorMessage="1" xr:uid="{0CEB7912-0FB6-4DE0-9691-96DB8073F5AB}">
          <x14:formula1>
            <xm:f>EN_PF_DROPDOWN!$O$15:$O$17</xm:f>
          </x14:formula1>
          <xm:sqref>G50</xm:sqref>
        </x14:dataValidation>
        <x14:dataValidation type="list" allowBlank="1" showInputMessage="1" showErrorMessage="1" xr:uid="{E1F04F45-042F-4E8A-9A82-F27349AD1972}">
          <x14:formula1>
            <xm:f>EN_PF_DROPDOWN!$O$20:$O$23</xm:f>
          </x14:formula1>
          <xm:sqref>G51</xm:sqref>
        </x14:dataValidation>
        <x14:dataValidation type="list" allowBlank="1" showInputMessage="1" showErrorMessage="1" xr:uid="{20E3E5C7-4371-45DB-8DD7-846CDD6E79A0}">
          <x14:formula1>
            <xm:f>EN_PF_DROPDOWN!$O$26:$O$29</xm:f>
          </x14:formula1>
          <xm:sqref>G52</xm:sqref>
        </x14:dataValidation>
        <x14:dataValidation type="list" allowBlank="1" showInputMessage="1" showErrorMessage="1" xr:uid="{973C427C-5BCD-440C-9BE6-A3A96B4FA98A}">
          <x14:formula1>
            <xm:f>EN_PF_DROPDOWN!$O$32:$O$35</xm:f>
          </x14:formula1>
          <xm:sqref>G53</xm:sqref>
        </x14:dataValidation>
        <x14:dataValidation type="list" allowBlank="1" showInputMessage="1" showErrorMessage="1" xr:uid="{D3CA24EA-4AE5-41C1-86F2-7849CD4F9877}">
          <x14:formula1>
            <xm:f>EN_PF_DROPDOWN!$O$38:$O$40</xm:f>
          </x14:formula1>
          <xm:sqref>G54</xm:sqref>
        </x14:dataValidation>
        <x14:dataValidation type="list" allowBlank="1" showInputMessage="1" showErrorMessage="1" xr:uid="{5B4AFB32-4A58-49EB-8067-498143BB84DB}">
          <x14:formula1>
            <xm:f>EN_PF_DROPDOWN!$O$43:$O$45</xm:f>
          </x14:formula1>
          <xm:sqref>G55</xm:sqref>
        </x14:dataValidation>
        <x14:dataValidation type="list" allowBlank="1" showInputMessage="1" showErrorMessage="1" xr:uid="{F8958F10-9A59-4B7D-A57B-B416167534D0}">
          <x14:formula1>
            <xm:f>EN_PF_DROPDOWN!$O$48:$O$50</xm:f>
          </x14:formula1>
          <xm:sqref>G56</xm:sqref>
        </x14:dataValidation>
        <x14:dataValidation type="list" allowBlank="1" showInputMessage="1" showErrorMessage="1" xr:uid="{1E7BC5FF-E59B-4E25-A819-FDFEDDA6E39F}">
          <x14:formula1>
            <xm:f>EN_PF_DROPDOWN!$A$27:$A$29</xm:f>
          </x14:formula1>
          <xm:sqref>F7:F9</xm:sqref>
        </x14:dataValidation>
        <x14:dataValidation type="list" allowBlank="1" showInputMessage="1" showErrorMessage="1" xr:uid="{1C4FAF79-D9C3-40CA-A657-6835374C15F5}">
          <x14:formula1>
            <xm:f>EN_PF_DROPDOWN!$C$25:$C$28</xm:f>
          </x14:formula1>
          <xm:sqref>G30</xm:sqref>
        </x14:dataValidation>
        <x14:dataValidation type="list" allowBlank="1" showInputMessage="1" showErrorMessage="1" xr:uid="{07F36A38-F1E0-4DCA-AA56-DAFDE944BC6D}">
          <x14:formula1>
            <xm:f>EN_PF_DROPDOWN!$A$57:$A$59</xm:f>
          </x14:formula1>
          <xm:sqref>D9</xm:sqref>
        </x14:dataValidation>
        <x14:dataValidation type="list" allowBlank="1" showInputMessage="1" showErrorMessage="1" xr:uid="{D19D331B-64B5-4E48-9456-BFB95886E374}">
          <x14:formula1>
            <xm:f>EN_PF_DROPDOWN!$A$7:$C$7</xm:f>
          </x14:formula1>
          <xm:sqref>L35 L28</xm:sqref>
        </x14:dataValidation>
        <x14:dataValidation type="list" allowBlank="1" showInputMessage="1" showErrorMessage="1" xr:uid="{5AB29000-96C9-4F8E-9A71-404A108C463F}">
          <x14:formula1>
            <xm:f>EN_PF_DROPDOWN!$A$7:$B$7</xm:f>
          </x14:formula1>
          <xm:sqref>L32</xm:sqref>
        </x14:dataValidation>
        <x14:dataValidation type="list" allowBlank="1" showInputMessage="1" showErrorMessage="1" xr:uid="{7C41F288-7CAB-4073-A826-115704373835}">
          <x14:formula1>
            <xm:f>EN_PF_DROPDOWN!$A$3:$A$5</xm:f>
          </x14:formula1>
          <xm:sqref>L43 L56</xm:sqref>
        </x14:dataValidation>
        <x14:dataValidation type="list" allowBlank="1" showInputMessage="1" showErrorMessage="1" xr:uid="{BA415A98-DB28-4213-AE47-EB1E58539039}">
          <x14:formula1>
            <xm:f>EN_PF_DROPDOWN!$B$3:$B$5</xm:f>
          </x14:formula1>
          <xm:sqref>L50 L54:L55</xm:sqref>
        </x14:dataValidation>
        <x14:dataValidation type="list" allowBlank="1" showInputMessage="1" showErrorMessage="1" xr:uid="{346AA87A-CE59-45A5-AB88-4357C5BCFCAE}">
          <x14:formula1>
            <xm:f>EN_PF_DROPDOWN!$C$61:$C$62</xm:f>
          </x14:formula1>
          <xm:sqref>D21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7C165-6C4C-4EFD-AF29-C47265F9CAA1}">
  <sheetPr codeName="Sheet3">
    <tabColor rgb="FF00B0F0"/>
    <pageSetUpPr fitToPage="1"/>
  </sheetPr>
  <dimension ref="A1:W100"/>
  <sheetViews>
    <sheetView zoomScaleNormal="100" workbookViewId="0">
      <selection activeCell="K2" sqref="K2"/>
    </sheetView>
  </sheetViews>
  <sheetFormatPr defaultColWidth="8.625" defaultRowHeight="14.25" x14ac:dyDescent="0.2"/>
  <cols>
    <col min="1" max="1" width="1.625" style="23" customWidth="1"/>
    <col min="2" max="2" width="5.625" style="23" customWidth="1"/>
    <col min="3" max="3" width="30.375" style="23" customWidth="1"/>
    <col min="4" max="4" width="15.125" style="23" customWidth="1"/>
    <col min="5" max="5" width="1.625" style="23" customWidth="1"/>
    <col min="6" max="6" width="14.375" style="23" customWidth="1"/>
    <col min="7" max="7" width="55.625" style="23" customWidth="1"/>
    <col min="8" max="8" width="7.625" style="23" customWidth="1"/>
    <col min="9" max="9" width="27.625" style="23" customWidth="1"/>
    <col min="10" max="10" width="25.125" style="23" customWidth="1"/>
    <col min="11" max="11" width="20.625" style="23" customWidth="1"/>
    <col min="12" max="12" width="13.625" style="23" customWidth="1"/>
    <col min="13" max="13" width="27.625" style="23" customWidth="1"/>
    <col min="14" max="14" width="5.875" style="23" customWidth="1"/>
    <col min="15" max="19" width="8.625" style="23"/>
    <col min="20" max="20" width="15.625" style="23" bestFit="1" customWidth="1"/>
    <col min="21" max="16384" width="8.625" style="23"/>
  </cols>
  <sheetData>
    <row r="1" spans="1:23" x14ac:dyDescent="0.2">
      <c r="A1" s="17"/>
      <c r="B1" s="17"/>
      <c r="C1" s="17"/>
      <c r="D1" s="17"/>
      <c r="E1" s="17"/>
      <c r="F1" s="17"/>
      <c r="G1" s="17"/>
      <c r="H1" s="35" t="b" cm="1">
        <f t="array" ref="H1">OR(AND(G26:G56="", L26:L56=""),AND(OR(G26:G56&lt;&gt;"", L26:L56&lt;&gt;""), OR(OR(D20&lt;&gt;"", J14&lt;&gt;""), AND(D14&lt;&gt;"", D15&lt;&gt;""),AND(EN_PF_Year3!D14&lt;&gt;"",D14&lt;&gt;"", D14=EN_PF_Year3!D14),AND(D14&lt;&gt;"",EN_PF_YearZ!D14&lt;&gt;"",D14=EN_PF_YearZ!D14), AND(EN_PF_Year3!D14&lt;&gt;"",EN_PF_YearZ!D14&lt;&gt;"",EN_PF_Year3!D14=EN_PF_YearZ!D14),AND(EN_PF_Year3!D15&lt;&gt;"",EN_PF_YearZ!D15&lt;&gt;"",EN_PF_Year3!D15=EN_PF_YearZ!D15),AND(D15&lt;&gt;"",EN_PF_YearZ!D15&lt;&gt;"",D15=EN_PF_YearZ!D15),AND(D15&lt;&gt;"",EN_PF_Year3!D15&lt;&gt;"",D15=EN_PF_Year3!D15),AND(D15="Yes",EN_PF_Year3!D15="Yes",D20&lt;&gt;EN_PF_Year3!D20),AND(D15="Yes",EN_PF_YearZ!D15="Yes",D20&lt;&gt;EN_PF_YearZ!D20),AND(EN_PF_Year3!D15="Yes",EN_PF_YearZ!D15="Yes",EN_PF_Year3!D20&lt;&gt;EN_PF_YearZ!D20),AND(EN_PF_Year3!D15="No",EN_PF_YearZ!D15="No",EN_PF_Year3!J14&lt;&gt;EN_PF_YearZ!J14),AND(D15="No",EN_PF_YearZ!D15="No",J14&lt;&gt;EN_PF_YearZ!J14),AND(D15="No",EN_PF_Year3!D15="No",J14&lt;&gt;EN_PF_Year3!J14))))</f>
        <v>1</v>
      </c>
      <c r="I1" s="17"/>
      <c r="J1" s="17"/>
      <c r="K1" s="17"/>
      <c r="L1" s="17"/>
      <c r="M1" s="17"/>
    </row>
    <row r="2" spans="1:23" x14ac:dyDescent="0.2">
      <c r="A2" s="17"/>
      <c r="B2" s="17"/>
      <c r="C2" s="17"/>
      <c r="D2" s="17"/>
      <c r="E2" s="17"/>
      <c r="F2" s="17"/>
      <c r="G2" s="17"/>
      <c r="H2" s="17"/>
      <c r="I2" s="17"/>
      <c r="J2" s="17"/>
      <c r="K2" s="17"/>
      <c r="L2" s="17"/>
      <c r="M2" s="17"/>
    </row>
    <row r="3" spans="1:23" s="1" customFormat="1" ht="33.75" x14ac:dyDescent="0.2">
      <c r="A3" s="2"/>
      <c r="B3" s="2"/>
      <c r="C3" s="2"/>
      <c r="D3" s="2"/>
      <c r="E3" s="2"/>
      <c r="F3" s="2"/>
      <c r="G3" s="2"/>
      <c r="H3" s="2"/>
      <c r="I3" s="2"/>
      <c r="J3" s="92"/>
      <c r="K3" s="17"/>
      <c r="L3" s="17"/>
      <c r="M3" s="17"/>
      <c r="N3" s="3"/>
      <c r="R3" s="235"/>
      <c r="S3" s="3"/>
      <c r="T3" s="237"/>
      <c r="U3" s="235"/>
      <c r="V3" s="3"/>
      <c r="W3" s="3"/>
    </row>
    <row r="4" spans="1:23" ht="33.75" x14ac:dyDescent="0.2">
      <c r="A4" s="17"/>
      <c r="B4" s="381" t="s">
        <v>152</v>
      </c>
      <c r="C4" s="381"/>
      <c r="D4" s="381"/>
      <c r="E4" s="381"/>
      <c r="F4" s="381"/>
      <c r="G4" s="381"/>
      <c r="H4" s="6"/>
      <c r="I4" s="6"/>
      <c r="J4" s="92"/>
      <c r="K4" s="17"/>
      <c r="L4" s="17"/>
      <c r="M4" s="17"/>
      <c r="N4" s="3"/>
      <c r="O4" s="3"/>
      <c r="P4" s="3"/>
      <c r="Q4" s="3"/>
      <c r="R4" s="3"/>
      <c r="S4" s="3"/>
      <c r="T4" s="234"/>
      <c r="U4" s="234"/>
    </row>
    <row r="5" spans="1:23" ht="15" customHeight="1" thickBot="1" x14ac:dyDescent="0.25">
      <c r="A5" s="17"/>
      <c r="B5" s="17"/>
      <c r="C5" s="17"/>
      <c r="D5" s="17"/>
      <c r="E5" s="17"/>
      <c r="F5" s="17"/>
      <c r="G5" s="17"/>
      <c r="H5" s="17"/>
      <c r="I5" s="17"/>
      <c r="J5" s="92"/>
      <c r="K5" s="17"/>
      <c r="L5" s="17"/>
      <c r="M5" s="17"/>
      <c r="T5" s="234"/>
      <c r="U5" s="234"/>
    </row>
    <row r="6" spans="1:23" ht="18.75" thickBot="1" x14ac:dyDescent="0.25">
      <c r="A6" s="17"/>
      <c r="B6" s="419" t="s">
        <v>145</v>
      </c>
      <c r="C6" s="420"/>
      <c r="D6" s="420"/>
      <c r="E6" s="56"/>
      <c r="F6" s="9" t="s">
        <v>144</v>
      </c>
      <c r="G6" s="17"/>
      <c r="H6" s="17"/>
      <c r="I6" s="17"/>
      <c r="J6" s="92"/>
      <c r="K6" s="17"/>
      <c r="L6" s="17"/>
      <c r="M6" s="17"/>
      <c r="Q6" s="234"/>
      <c r="U6" s="234"/>
    </row>
    <row r="7" spans="1:23" ht="18" customHeight="1" thickBot="1" x14ac:dyDescent="0.25">
      <c r="A7" s="17"/>
      <c r="B7" s="384" t="s">
        <v>147</v>
      </c>
      <c r="C7" s="384"/>
      <c r="D7" s="7"/>
      <c r="E7" s="56"/>
      <c r="F7" s="385" t="s">
        <v>160</v>
      </c>
      <c r="G7" s="17"/>
      <c r="H7" s="17"/>
      <c r="I7" s="17"/>
      <c r="J7" s="92"/>
      <c r="K7" s="17"/>
      <c r="L7" s="17"/>
      <c r="M7" s="17"/>
      <c r="U7" s="234"/>
    </row>
    <row r="8" spans="1:23" ht="18" customHeight="1" thickBot="1" x14ac:dyDescent="0.25">
      <c r="A8" s="17"/>
      <c r="B8" s="384" t="s">
        <v>201</v>
      </c>
      <c r="C8" s="384"/>
      <c r="D8" s="8"/>
      <c r="E8" s="17"/>
      <c r="F8" s="386"/>
      <c r="G8" s="17"/>
      <c r="H8" s="17"/>
      <c r="I8" s="17"/>
      <c r="J8" s="92"/>
      <c r="K8" s="17"/>
      <c r="L8" s="17"/>
      <c r="M8" s="17"/>
      <c r="U8" s="234"/>
    </row>
    <row r="9" spans="1:23" ht="18" customHeight="1" thickBot="1" x14ac:dyDescent="0.25">
      <c r="A9" s="17"/>
      <c r="B9" s="402" t="s">
        <v>661</v>
      </c>
      <c r="C9" s="384"/>
      <c r="D9" s="14"/>
      <c r="E9" s="17"/>
      <c r="F9" s="386"/>
      <c r="G9" s="17"/>
      <c r="H9" s="17"/>
      <c r="I9" s="17"/>
      <c r="J9" s="92"/>
      <c r="K9" s="17"/>
      <c r="L9" s="17"/>
      <c r="M9" s="17"/>
      <c r="U9" s="234"/>
    </row>
    <row r="10" spans="1:23" s="51" customFormat="1" ht="15" customHeight="1" thickBot="1" x14ac:dyDescent="0.25">
      <c r="A10" s="57"/>
      <c r="B10" s="57"/>
      <c r="C10" s="57"/>
      <c r="D10" s="57"/>
      <c r="E10" s="57"/>
      <c r="F10" s="57"/>
      <c r="G10" s="57"/>
      <c r="H10" s="57"/>
      <c r="I10" s="57"/>
      <c r="J10" s="57"/>
      <c r="K10" s="57"/>
      <c r="L10" s="57"/>
      <c r="M10" s="57"/>
      <c r="T10" s="23"/>
    </row>
    <row r="11" spans="1:23" s="1" customFormat="1" ht="18" customHeight="1" thickBot="1" x14ac:dyDescent="0.25">
      <c r="A11" s="404" t="s">
        <v>124</v>
      </c>
      <c r="B11" s="405"/>
      <c r="C11" s="405"/>
      <c r="D11" s="405"/>
      <c r="E11" s="405"/>
      <c r="F11" s="405"/>
      <c r="G11" s="405"/>
      <c r="H11" s="405"/>
      <c r="I11" s="405"/>
      <c r="J11" s="405"/>
      <c r="K11" s="405"/>
      <c r="L11" s="405"/>
      <c r="M11" s="406"/>
      <c r="N11" s="57"/>
      <c r="O11" s="23"/>
      <c r="P11" s="23"/>
      <c r="Q11" s="23"/>
      <c r="R11" s="23"/>
      <c r="T11" s="236"/>
    </row>
    <row r="12" spans="1:23" x14ac:dyDescent="0.2">
      <c r="A12" s="17"/>
      <c r="B12" s="17"/>
      <c r="C12" s="17"/>
      <c r="D12" s="17"/>
      <c r="E12" s="17"/>
      <c r="F12" s="17"/>
      <c r="G12" s="17"/>
      <c r="H12" s="17"/>
      <c r="I12" s="17"/>
      <c r="J12" s="17"/>
      <c r="K12" s="17"/>
      <c r="L12" s="17"/>
      <c r="M12" s="17"/>
      <c r="N12" s="57"/>
      <c r="S12" s="1"/>
      <c r="T12" s="234"/>
    </row>
    <row r="13" spans="1:23" ht="27" customHeight="1" x14ac:dyDescent="0.2">
      <c r="A13" s="17"/>
      <c r="B13" s="401" t="s">
        <v>215</v>
      </c>
      <c r="C13" s="401"/>
      <c r="D13" s="108" t="str">
        <f>IF(EN_PF_QualitativeBaseline!D13&lt;&gt;"", EN_PF_QualitativeBaseline!D13, "")</f>
        <v>CCM Lao PDR</v>
      </c>
      <c r="E13" s="17"/>
      <c r="F13" s="17"/>
      <c r="G13" s="17"/>
      <c r="H13" s="401" t="s">
        <v>161</v>
      </c>
      <c r="I13" s="401"/>
      <c r="J13" s="21" t="str">
        <f>IF(EN_PF_Year3!J13&lt;&gt;"", EN_PF_Year3!J13, "")</f>
        <v/>
      </c>
      <c r="K13" s="17"/>
      <c r="L13" s="17"/>
      <c r="M13" s="17"/>
      <c r="N13" s="17"/>
      <c r="S13" s="236"/>
    </row>
    <row r="14" spans="1:23" ht="27" customHeight="1" x14ac:dyDescent="0.2">
      <c r="A14" s="17"/>
      <c r="B14" s="403" t="s">
        <v>499</v>
      </c>
      <c r="C14" s="401"/>
      <c r="D14" s="129" t="s">
        <v>111</v>
      </c>
      <c r="E14" s="17"/>
      <c r="F14" s="17"/>
      <c r="G14" s="17"/>
      <c r="H14" s="401" t="s">
        <v>162</v>
      </c>
      <c r="I14" s="401"/>
      <c r="J14" s="21"/>
      <c r="K14" s="17"/>
      <c r="L14" s="17"/>
      <c r="M14" s="17"/>
      <c r="N14" s="17"/>
      <c r="S14" s="1"/>
    </row>
    <row r="15" spans="1:23" ht="27" customHeight="1" x14ac:dyDescent="0.2">
      <c r="A15" s="17"/>
      <c r="B15" s="401" t="s">
        <v>443</v>
      </c>
      <c r="C15" s="401"/>
      <c r="D15" s="109"/>
      <c r="E15" s="17"/>
      <c r="F15" s="17"/>
      <c r="G15" s="17"/>
      <c r="H15" s="17"/>
      <c r="I15" s="17"/>
      <c r="J15" s="17"/>
      <c r="K15" s="17"/>
      <c r="L15" s="17"/>
      <c r="M15" s="17"/>
      <c r="N15" s="17"/>
      <c r="S15" s="1"/>
    </row>
    <row r="16" spans="1:23" x14ac:dyDescent="0.2">
      <c r="A16" s="17"/>
      <c r="B16" s="17"/>
      <c r="C16" s="17"/>
      <c r="D16" s="17"/>
      <c r="E16" s="17"/>
      <c r="F16" s="17"/>
      <c r="G16" s="17"/>
      <c r="H16" s="17"/>
      <c r="I16" s="17"/>
      <c r="J16" s="17"/>
      <c r="K16" s="17"/>
      <c r="L16" s="17"/>
      <c r="M16" s="17"/>
      <c r="N16" s="17"/>
      <c r="S16" s="1"/>
    </row>
    <row r="17" spans="1:22" ht="23.45" customHeight="1" thickBot="1" x14ac:dyDescent="0.25">
      <c r="A17" s="17"/>
      <c r="B17" s="403" t="s">
        <v>439</v>
      </c>
      <c r="C17" s="401"/>
      <c r="D17" s="21"/>
      <c r="E17" s="17"/>
      <c r="F17" s="17"/>
      <c r="G17" s="17"/>
      <c r="H17" s="17"/>
      <c r="I17" s="17"/>
      <c r="J17" s="17"/>
      <c r="K17" s="17"/>
      <c r="L17" s="17"/>
      <c r="M17" s="17"/>
      <c r="N17" s="17"/>
      <c r="S17" s="1"/>
    </row>
    <row r="18" spans="1:22" ht="23.45" customHeight="1" thickBot="1" x14ac:dyDescent="0.25">
      <c r="A18" s="17"/>
      <c r="B18" s="401" t="s">
        <v>202</v>
      </c>
      <c r="C18" s="401"/>
      <c r="D18" s="110"/>
      <c r="E18" s="17"/>
      <c r="F18" s="17"/>
      <c r="G18" s="90" t="str">
        <f>"! In red the inconsistent or missing information"</f>
        <v>! In red the inconsistent or missing information</v>
      </c>
      <c r="H18" s="91"/>
      <c r="I18" s="17"/>
      <c r="J18" s="17"/>
      <c r="K18" s="17"/>
      <c r="L18" s="17"/>
      <c r="M18" s="131" t="s">
        <v>688</v>
      </c>
      <c r="N18" s="17"/>
      <c r="S18" s="1"/>
    </row>
    <row r="19" spans="1:22" ht="23.45" customHeight="1" x14ac:dyDescent="0.2">
      <c r="A19" s="17"/>
      <c r="B19" s="401" t="s">
        <v>203</v>
      </c>
      <c r="C19" s="401"/>
      <c r="D19" s="111"/>
      <c r="E19" s="17"/>
      <c r="F19" s="17"/>
      <c r="G19" s="85"/>
      <c r="H19" s="17"/>
      <c r="I19" s="17"/>
      <c r="J19" s="17"/>
      <c r="K19" s="17"/>
      <c r="L19" s="17"/>
      <c r="M19" s="17"/>
      <c r="N19" s="17"/>
      <c r="S19" s="1"/>
    </row>
    <row r="20" spans="1:22" ht="23.45" customHeight="1" x14ac:dyDescent="0.2">
      <c r="A20" s="17"/>
      <c r="B20" s="403" t="s">
        <v>151</v>
      </c>
      <c r="C20" s="411"/>
      <c r="D20" s="110"/>
      <c r="E20" s="17"/>
      <c r="F20" s="17"/>
      <c r="G20" s="17"/>
      <c r="H20" s="17"/>
      <c r="I20" s="17"/>
      <c r="J20" s="17"/>
      <c r="K20" s="17"/>
      <c r="L20" s="17"/>
      <c r="M20" s="17"/>
      <c r="N20" s="17"/>
      <c r="S20" s="1"/>
    </row>
    <row r="21" spans="1:22" ht="23.45" customHeight="1" x14ac:dyDescent="0.2">
      <c r="A21" s="17"/>
      <c r="B21" s="403" t="s">
        <v>500</v>
      </c>
      <c r="C21" s="401"/>
      <c r="D21" s="113"/>
      <c r="E21" s="17"/>
      <c r="F21" s="17"/>
      <c r="G21" s="17"/>
      <c r="H21" s="17"/>
      <c r="I21" s="17"/>
      <c r="J21" s="17"/>
      <c r="K21" s="17"/>
      <c r="L21" s="17"/>
      <c r="M21" s="17"/>
      <c r="N21" s="17"/>
      <c r="S21" s="1"/>
    </row>
    <row r="22" spans="1:22" ht="33.6" customHeight="1" thickBot="1" x14ac:dyDescent="0.25">
      <c r="A22" s="17"/>
      <c r="B22" s="17"/>
      <c r="C22" s="17"/>
      <c r="D22" s="412" t="str" cm="1">
        <f t="array" ref="D22">_xlfn.IFS(F7="Performance Framework","",D15="","",AND(D15="Yes",D20=""),"",AND(D15="Yes",D20&lt;&gt;""),_xlfn.CONCAT("Evaluation ",D20),AND(D15="No",J14=""),"",AND(D15="No",J14&lt;&gt;""),_xlfn.CONCAT("Update Year ",J14))</f>
        <v/>
      </c>
      <c r="E22" s="412"/>
      <c r="F22" s="412"/>
      <c r="G22" s="114" t="str">
        <f>IF(D21="In-depth (Qualitative baseline)", "Qualitative Assessment","Annual Check")</f>
        <v>Annual Check</v>
      </c>
      <c r="H22" s="17"/>
      <c r="I22" s="17"/>
      <c r="J22" s="17"/>
      <c r="K22" s="17"/>
      <c r="L22" s="17"/>
      <c r="M22" s="17"/>
      <c r="N22" s="17"/>
      <c r="S22" s="1"/>
    </row>
    <row r="23" spans="1:22" ht="18" customHeight="1" thickBot="1" x14ac:dyDescent="0.25">
      <c r="A23" s="404" t="s">
        <v>173</v>
      </c>
      <c r="B23" s="405"/>
      <c r="C23" s="405"/>
      <c r="D23" s="405"/>
      <c r="E23" s="405"/>
      <c r="F23" s="405"/>
      <c r="G23" s="405"/>
      <c r="H23" s="405"/>
      <c r="I23" s="405"/>
      <c r="J23" s="405"/>
      <c r="K23" s="405"/>
      <c r="L23" s="405"/>
      <c r="M23" s="406"/>
      <c r="O23" s="1"/>
    </row>
    <row r="24" spans="1:22" ht="15" customHeight="1" x14ac:dyDescent="0.2">
      <c r="A24" s="17"/>
      <c r="B24" s="17"/>
      <c r="C24" s="17"/>
      <c r="D24" s="17"/>
      <c r="E24" s="17"/>
      <c r="F24" s="17"/>
      <c r="G24" s="17"/>
      <c r="H24" s="17"/>
      <c r="I24" s="17"/>
      <c r="J24" s="17"/>
      <c r="K24" s="17"/>
      <c r="L24" s="17"/>
      <c r="M24" s="17"/>
    </row>
    <row r="25" spans="1:22" s="52" customFormat="1" ht="31.5" x14ac:dyDescent="0.2">
      <c r="A25" s="58"/>
      <c r="B25" s="48" t="s">
        <v>148</v>
      </c>
      <c r="C25" s="48" t="s">
        <v>150</v>
      </c>
      <c r="D25" s="421" t="s">
        <v>153</v>
      </c>
      <c r="E25" s="422"/>
      <c r="F25" s="423"/>
      <c r="G25" s="49" t="s">
        <v>158</v>
      </c>
      <c r="H25" s="48" t="s">
        <v>156</v>
      </c>
      <c r="I25" s="48" t="s">
        <v>143</v>
      </c>
      <c r="J25" s="48" t="s">
        <v>159</v>
      </c>
      <c r="K25" s="49" t="s">
        <v>689</v>
      </c>
      <c r="L25" s="49" t="s">
        <v>172</v>
      </c>
      <c r="M25" s="49" t="s">
        <v>450</v>
      </c>
      <c r="N25" s="83"/>
      <c r="P25" s="23"/>
      <c r="Q25" s="23"/>
      <c r="R25" s="23"/>
      <c r="S25" s="23"/>
      <c r="T25" s="23"/>
      <c r="U25" s="23"/>
      <c r="V25" s="23"/>
    </row>
    <row r="26" spans="1:22" ht="110.1" customHeight="1" x14ac:dyDescent="0.2">
      <c r="A26" s="17"/>
      <c r="B26" s="426" t="s">
        <v>110</v>
      </c>
      <c r="C26" s="341" t="s">
        <v>175</v>
      </c>
      <c r="D26" s="341" t="s">
        <v>155</v>
      </c>
      <c r="E26" s="410"/>
      <c r="F26" s="410"/>
      <c r="G26" s="81"/>
      <c r="H26" s="72" t="str" cm="1">
        <f t="array" ref="H26">_xlfn.IFS(G26=EN_PF_DROPDOWN!$C$3,"3",G26=EN_PF_DROPDOWN!$C$4,"2",G26=EN_PF_DROPDOWN!$C$5,"1",G26=EN_PF_DROPDOWN!$C$6,"0",G26="","")</f>
        <v/>
      </c>
      <c r="I26" s="53"/>
      <c r="J26" s="61" t="str" cm="1">
        <f t="array" ref="J26">_xlfn.IFS(G26=EN_PF_DROPDOWN!$C$3,EN_PF_DROPDOWN!$E$3,G26=EN_PF_DROPDOWN!$C$4,EN_PF_DROPDOWN!$E$4,G26=EN_PF_DROPDOWN!$C$5,EN_PF_DROPDOWN!$E$5,G26=EN_PF_DROPDOWN!$C$6,EN_PF_DROPDOWN!$E$6,G26=EN_PF_DROPDOWN!$C$6,0,G26="","")</f>
        <v/>
      </c>
      <c r="K26" s="78" t="str" cm="1">
        <f t="array" ref="K26">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OR(AND(H26="", L26=""), AND($D$20="",$J$14=""), AND(L26="", H26&lt;&gt;"",$D$14="Yes",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1",$J$14&lt;&gt;1),H26&lt;&gt;"", OR(AND(OR(EN_PF_Year3!$J$14= 1, EN_PF_Year3!$D$20="Year 1"), EN_PF_Year3!L26="",  OR($D$20="Year 2", $J$14 =2)), AND(OR(EN_PF_Year3!$J$14= 2, EN_PF_Year3!$D$20="Year 2"), EN_PF_Year3!L26="",  OR($D$20="Year 3", $J$14 =3)))), AND(OR($D$20&lt;&gt;"",$J$14&lt;&gt;""),AND($D$20&lt;&gt;"Year 1",$J$14&lt;&gt;1),L26="", H26&lt;&gt;"", OR(AND(OR(EN_PF_YearZ!$J$14= 1, EN_PF_YearZ!$D$20="Year 1"), EN_PF_YearZ!L26="",  OR($D$20="Year 2", $J$14 =2)), AND(OR(EN_PF_YearZ!$J$14= 2, EN_PF_YearZ!$D$20="Year 2"), EN_PF_YearZ!L26="",  OR($D$20="Year 3", $J$14 =3)))))), "", AND(L26="", H26&lt;&gt;"",$D$14="Yes",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",EN_PF_QualitativeBaseline!$I$16,"     Preliminary score = ",H26), AND(OR($D$20&lt;&gt;"",$J$14&lt;&gt;""),AND($D$20&lt;&gt;"Year 1",$J$14&lt;&gt;1),L26="", H26&lt;&gt;"", OR(AND(OR(EN_PF_Year3!$J$14= 1, EN_PF_Year3!$D$20="Year 1"), EN_PF_Year3!L26&lt;&gt;"",  OR($D$20="Year 2", $J$14 =2)), AND(OR(EN_PF_Year3!$J$14= 2, EN_PF_Year3!$D$20="Year 2"), EN_PF_Year3!L26&lt;&gt;"",  OR($D$20="Year 3", $J$14 =3)))), _xlfn.CONCAT("Validated old score = ",EN_PF_Year3!L26,"          Preliminary score = ",H26), AND(OR($D$20&lt;&gt;"",$J$14&lt;&gt;""),AND($D$20&lt;&gt;"Year 1",$J$14&lt;&gt;1),L26="", H26&lt;&gt;"", OR(AND(OR(EN_PF_YearZ!$J$14= 1, EN_PF_YearZ!$D$20="Year 1"), EN_PF_YearZ!L26&lt;&gt;"",  OR($D$20="Year 2", $J$14 =2)), AND(OR(EN_PF_YearZ!$J$14= 2, EN_PF_YearZ!$D$20="Year 2"), EN_PF_YearZ!L26&lt;&gt;"",  OR($D$20="Year 3", $J$14 =3)))), _xlfn.CONCAT("Validated old score = ",EN_PF_YearZ!L26,"          Preliminary score = ",H26), AND(OR($D$20&lt;&gt;"",$J$14&lt;&gt;""),AND($D$20&lt;&gt;"Year 1",$J$14&lt;&gt;1),L26&lt;&gt;"", OR(AND(OR(EN_PF_Year3!$J$14= 1, EN_PF_Year3!$D$20="Year 1"), EN_PF_Year3!L26&lt;&gt;"",  OR($D$20="Year 2", $J$14 =2)), AND(OR(EN_PF_Year3!$J$14= 2, EN_PF_Year3!$D$20="Year 2"), EN_PF_Year3!L26&lt;&gt;"",  OR($D$20="Year 3", $J$14 =3)))), _xlfn.CONCAT("Validated old score = ",EN_PF_Year3!L26,"               Validated new score = ",L26), AND(OR($D$20&lt;&gt;"",$J$14&lt;&gt;""),AND($D$20&lt;&gt;"Year 1",$J$14&lt;&gt;1),L26="", H26&lt;&gt;"", OR(AND(OR(EN_PF_YearZ!$J$14= 1, EN_PF_YearZ!$D$20="Year 1"), EN_PF_YearZ!L26&lt;&gt;"",  OR($D$20="Year 2", $J$14 =2)), AND(OR(EN_PF_YearZ!$J$14= 2, EN_PF_YearZ!$D$20="Year 2"), EN_PF_YearZ!L26&lt;&gt;"",  OR($D$20="Year 3", $J$14 =3)))), _xlfn.CONCAT("Validated old score = ",EN_PF_YearZ!L26,"               Validated new score = ",L26),AND(L26&lt;&gt;"",$D$14="Yes",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",EN_PF_QualitativeBaseline!$I$16,"               Validated new score = ",L26), AND(OR($D$14="No", $D$14="", EN_PF_QualitativeBaseline!$I$16=""),OR($D$20="Year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26" s="74"/>
      <c r="M26" s="53" t="str" cm="1">
        <f t="array" ref="M26">_xlfn.IFS(I26="","",OR(AND($D$20="", $J$14=""), AND(OR($D$20="Year 1",$J$14=1),EN_PF_QualitativeBaseline!J16=""), AND(OR($D$20&lt;&gt;"", $J$14&lt;&gt;""), OR($D$20&lt;&gt;"Year 1",$J$14&lt;&gt;1), EN_PF_Year3!M26="")),"",AND(OR($D$20="Year 1",$J$14=1),I26&gt;EN_PF_QualitativeBaseline!J16),_xlfn.CONCAT("The reported achievements are higher than what assessed in the previous threshold baseline, where the average score for this objective = ", EN_PF_QualitativeBaseline!J16), AND(OR($D$20="Year 1",$J$14=1),I26=EN_PF_QualitativeBaseline!G16),"The reported achievements confirm what assessed in the previous threshold baseline", AND(OR($D$20="Year 1",$J$14=1), I26 &lt; EN_PF_QualitativeBaseline!J16), _xlfn.CONCAT("The reported achievements are lower than what assessed in the previous threshold baseline, where the average score for this objective = ", EN_PF_QualitativeBaseline!J16), AND(OR($D$20&lt;&gt;"",$J$14&lt;&gt;""), AND($D$20&lt;&gt;"Year 1",$J$14&lt;&gt;1), I26&gt;EN_PF_Year3!M26), _xlfn.CONCAT("The reported achievements are higher than what assessed in the previous year, where the score for this indicator= ",EN_PF_Year3!M26), AND(OR($D$20&lt;&gt;"", $J$14&lt;&gt;""), AND($D$20&lt;&gt;"Year 1",$J$14&lt;&gt;1), I26=EN_PF_Year3!M26),"The reported achievements confirm what assessed in the previous year", AND(OR($D$20&lt;&gt;"", $J$14&lt;&gt;""), AND($D$20&lt;&gt;"Year 1",$J$14&lt;&gt;1), I26&lt;EN_PF_Year3!M26), _xlfn.CONCAT("The reported achievements are lower than what assessed in the previous yearwhere the score for this indicator= ",EN_PF_Year3!M26))</f>
        <v/>
      </c>
      <c r="N26" s="83"/>
      <c r="O26" s="84"/>
    </row>
    <row r="27" spans="1:22" ht="110.1" customHeight="1" x14ac:dyDescent="0.2">
      <c r="A27" s="17"/>
      <c r="B27" s="427"/>
      <c r="C27" s="410"/>
      <c r="D27" s="387" t="s">
        <v>610</v>
      </c>
      <c r="E27" s="415"/>
      <c r="F27" s="416"/>
      <c r="G27" s="80"/>
      <c r="H27" s="73" t="str" cm="1">
        <f t="array" ref="H27">_xlfn.IFS(G27=EN_PF_DROPDOWN!$C$9,"3",G27=EN_PF_DROPDOWN!$C$10,"2",G27=EN_PF_DROPDOWN!$C$11,"1",G27=EN_PF_DROPDOWN!$C$12,"0",G27="","")</f>
        <v/>
      </c>
      <c r="I27" s="55"/>
      <c r="J27" s="62" t="str" cm="1">
        <f t="array" ref="J27">_xlfn.IFS(G27=EN_PF_DROPDOWN!$C$9,EN_PF_DROPDOWN!$E$9,G27=EN_PF_DROPDOWN!$C$10,EN_PF_DROPDOWN!$E$10,G27=EN_PF_DROPDOWN!$C$11,EN_PF_DROPDOWN!$E$11,G27=EN_PF_DROPDOWN!$C$12,EN_PF_DROPDOWN!$E$12,G27="","")</f>
        <v/>
      </c>
      <c r="K27" s="78" t="str" cm="1">
        <f t="array" ref="K27">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OR(AND(H27="", L27=""), AND($D$20="",$J$14=""), AND(L27="", H27&lt;&gt;"",$D$14="Yes",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1",$J$14&lt;&gt;1),H27&lt;&gt;"", OR(AND(OR(EN_PF_Year3!$J$14= 1, EN_PF_Year3!$D$20="Year 1"), EN_PF_Year3!L27="",  OR($D$20="Year 2", $J$14 =2)), AND(OR(EN_PF_Year3!$J$14= 2, EN_PF_Year3!$D$20="Year 2"), EN_PF_Year3!L27="",  OR($D$20="Year 3", $J$14 =3)))), AND(OR($D$20&lt;&gt;"",$J$14&lt;&gt;""),AND($D$20&lt;&gt;"Year 1",$J$14&lt;&gt;1),L27="", H27&lt;&gt;"", OR(AND(OR(EN_PF_YearZ!$J$14= 1, EN_PF_YearZ!$D$20="Year 1"), EN_PF_YearZ!L27="",  OR($D$20="Year 2", $J$14 =2)), AND(OR(EN_PF_YearZ!$J$14= 2, EN_PF_YearZ!$D$20="Year 2"), EN_PF_YearZ!L27="",  OR($D$20="Year 3", $J$14 =3)))))), "", AND(L27="", H27&lt;&gt;"",$D$14="Yes",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",EN_PF_QualitativeBaseline!$I$16,"     Preliminary score = ",H27), AND(OR($D$20&lt;&gt;"",$J$14&lt;&gt;""),AND($D$20&lt;&gt;"Year 1",$J$14&lt;&gt;1),L27="", H27&lt;&gt;"", OR(AND(OR(EN_PF_Year3!$J$14= 1, EN_PF_Year3!$D$20="Year 1"), EN_PF_Year3!L27&lt;&gt;"",  OR($D$20="Year 2", $J$14 =2)), AND(OR(EN_PF_Year3!$J$14= 2, EN_PF_Year3!$D$20="Year 2"), EN_PF_Year3!L27&lt;&gt;"",  OR($D$20="Year 3", $J$14 =3)))), _xlfn.CONCAT("Validated old score = ",EN_PF_Year3!L27,"          Preliminary score = ",H27), AND(OR($D$20&lt;&gt;"",$J$14&lt;&gt;""),AND($D$20&lt;&gt;"Year 1",$J$14&lt;&gt;1),L27="", H27&lt;&gt;"", OR(AND(OR(EN_PF_YearZ!$J$14= 1, EN_PF_YearZ!$D$20="Year 1"), EN_PF_YearZ!L27&lt;&gt;"",  OR($D$20="Year 2", $J$14 =2)), AND(OR(EN_PF_YearZ!$J$14= 2, EN_PF_YearZ!$D$20="Year 2"), EN_PF_YearZ!L27&lt;&gt;"",  OR($D$20="Year 3", $J$14 =3)))), _xlfn.CONCAT("Validated old score = ",EN_PF_YearZ!L27,"          Preliminary score = ",H27), AND(OR($D$20&lt;&gt;"",$J$14&lt;&gt;""),AND($D$20&lt;&gt;"Year 1",$J$14&lt;&gt;1),L27&lt;&gt;"", OR(AND(OR(EN_PF_Year3!$J$14= 1, EN_PF_Year3!$D$20="Year 1"), EN_PF_Year3!L27&lt;&gt;"",  OR($D$20="Year 2", $J$14 =2)), AND(OR(EN_PF_Year3!$J$14= 2, EN_PF_Year3!$D$20="Year 2"), EN_PF_Year3!L27&lt;&gt;"",  OR($D$20="Year 3", $J$14 =3)))), _xlfn.CONCAT("Validated old score = ",EN_PF_Year3!L27,"               Validated new score = ",L27), AND(OR($D$20&lt;&gt;"",$J$14&lt;&gt;""),AND($D$20&lt;&gt;"Year 1",$J$14&lt;&gt;1),L27="", H27&lt;&gt;"", OR(AND(OR(EN_PF_YearZ!$J$14= 1, EN_PF_YearZ!$D$20="Year 1"), EN_PF_YearZ!L27&lt;&gt;"",  OR($D$20="Year 2", $J$14 =2)), AND(OR(EN_PF_YearZ!$J$14= 2, EN_PF_YearZ!$D$20="Year 2"), EN_PF_YearZ!L27&lt;&gt;"",  OR($D$20="Year 3", $J$14 =3)))), _xlfn.CONCAT("Validated old score = ",EN_PF_YearZ!L27,"               Validated new score = ",L27),AND(L27&lt;&gt;"",$D$14="Yes",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",EN_PF_QualitativeBaseline!$I$16,"               Validated new score = ",L27), AND(OR($D$14="No", $D$14="", EN_PF_QualitativeBaseline!$I$16=""),OR($D$20="Year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27" s="74"/>
      <c r="M27" s="53" t="str" cm="1">
        <f t="array" ref="M27">_xlfn.IFS(I27="","", AND(OR($D$20="Year 1",$J$14=1),I27&gt;EN_PF_QualitativeBaseline!J17),_xlfn.CONCAT("The reported achievements are higher than what assessed in the previous threshold baseline, where the average score for this objective = ", EN_PF_QualitativeBaseline!J17), AND(OR($D$20="Year 1",$J$14=1), I27=EN_PF_QualitativeBaseline!J17),"The reported achievements confirm what assessed in the previous threshold baseline", AND(OR($D$20="Year 1",$J$14=1), I27&lt;EN_PF_QualitativeBaseline!J17), _xlfn.CONCAT("The reported achievements are lower than what assessed in the previous threshold baseline, where the average score for this objective = ", EN_PF_QualitativeBaseline!J17), AND(OR($D$20&lt;&gt;"",$J$14&lt;&gt;""), OR($D$20&lt;&gt;"Year 1",$J$14&lt;&gt;1), I27&gt;EN_PF_Year3!M27), _xlfn.CONCAT("The reported achievements are higher than what assessed in the previous year, where the score for this indicator= ",EN_PF_Year3!M27), AND(OR($D$20&lt;&gt;"", $J$14&lt;&gt;""), OR($D$20&lt;&gt;"Year 1",$J$14&lt;&gt;1), I27=EN_PF_Year3!M27),"The reported achievements confirm what assessed in the previous year", AND(OR($D$20&lt;&gt;"", $J$14&lt;&gt;""), OR($D$20&lt;&gt;"Year 1",$J$14&lt;&gt;1), I27&lt;EN_PF_Year3!M27), _xlfn.CONCAT("The reported achievements are lower than what assessed in the previous yearwhere the score for this indicator= ",EN_PF_Year3!M27),OR(AND($D$20="", $J$14=""), AND(OR($D$20="Year 1",$J$14=1),EN_PF_QualitativeBaseline!J17=""), AND($D$20&lt;&gt;"", $J$14&lt;&gt;"", OR($D$20&lt;&gt;"Year 1",$J$14&lt;&gt;1), EN_PF_Year3!M27="")),"")</f>
        <v/>
      </c>
      <c r="N27" s="52"/>
      <c r="O27" s="52"/>
    </row>
    <row r="28" spans="1:22" ht="110.1" customHeight="1" x14ac:dyDescent="0.2">
      <c r="A28" s="17"/>
      <c r="B28" s="427"/>
      <c r="C28" s="410"/>
      <c r="D28" s="341" t="s">
        <v>653</v>
      </c>
      <c r="E28" s="341"/>
      <c r="F28" s="341"/>
      <c r="G28" s="80"/>
      <c r="H28" s="73" t="str" cm="1">
        <f t="array" ref="H28">_xlfn.IFS(G28=EN_PF_DROPDOWN!$C$15,"3",G28=EN_PF_DROPDOWN!$C$16,"2",G28=EN_PF_DROPDOWN!$C$17,"0",G28="","")</f>
        <v/>
      </c>
      <c r="I28" s="55"/>
      <c r="J28" s="62" t="str" cm="1">
        <f t="array" ref="J28">_xlfn.IFS(G28=EN_PF_DROPDOWN!$C$15,EN_PF_DROPDOWN!$E$15,G28=EN_PF_DROPDOWN!$C$16,EN_PF_DROPDOWN!$E$16,G28=EN_PF_DROPDOWN!$C$17,EN_PF_DROPDOWN!$E$17,G28="","")</f>
        <v/>
      </c>
      <c r="K28" s="78" t="str" cm="1">
        <f t="array" ref="K28">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OR(AND(H28="", L28=""), AND($D$20="",$J$14=""), AND(L28="", H28&lt;&gt;"",$D$14="Yes",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1",$J$14&lt;&gt;1),H28&lt;&gt;"", OR(AND(OR(EN_PF_Year3!$J$14= 1, EN_PF_Year3!$D$20="Year 1"), EN_PF_Year3!L28="",  OR($D$20="Year 2", $J$14 =2)), AND(OR(EN_PF_Year3!$J$14= 2, EN_PF_Year3!$D$20="Year 2"), EN_PF_Year3!L28="",  OR($D$20="Year 3", $J$14 =3)))), AND(OR($D$20&lt;&gt;"",$J$14&lt;&gt;""),AND($D$20&lt;&gt;"Year 1",$J$14&lt;&gt;1),L28="", H28&lt;&gt;"", OR(AND(OR(EN_PF_YearZ!$J$14= 1, EN_PF_YearZ!$D$20="Year 1"), EN_PF_YearZ!L28="",  OR($D$20="Year 2", $J$14 =2)), AND(OR(EN_PF_YearZ!$J$14= 2, EN_PF_YearZ!$D$20="Year 2"), EN_PF_YearZ!L28="",  OR($D$20="Year 3", $J$14 =3)))))), "", AND(L28="", H28&lt;&gt;"",$D$14="Yes",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",EN_PF_QualitativeBaseline!$I$16,"     Preliminary score = ",H28), AND(OR($D$20&lt;&gt;"",$J$14&lt;&gt;""),AND($D$20&lt;&gt;"Year 1",$J$14&lt;&gt;1),L28="", H28&lt;&gt;"", OR(AND(OR(EN_PF_Year3!$J$14= 1, EN_PF_Year3!$D$20="Year 1"), EN_PF_Year3!L28&lt;&gt;"",  OR($D$20="Year 2", $J$14 =2)), AND(OR(EN_PF_Year3!$J$14= 2, EN_PF_Year3!$D$20="Year 2"), EN_PF_Year3!L28&lt;&gt;"",  OR($D$20="Year 3", $J$14 =3)))), _xlfn.CONCAT("Validated old score = ",EN_PF_Year3!L28,"          Preliminary score = ",H28), AND(OR($D$20&lt;&gt;"",$J$14&lt;&gt;""),AND($D$20&lt;&gt;"Year 1",$J$14&lt;&gt;1),L28="", H28&lt;&gt;"", OR(AND(OR(EN_PF_YearZ!$J$14= 1, EN_PF_YearZ!$D$20="Year 1"), EN_PF_YearZ!L28&lt;&gt;"",  OR($D$20="Year 2", $J$14 =2)), AND(OR(EN_PF_YearZ!$J$14= 2, EN_PF_YearZ!$D$20="Year 2"), EN_PF_YearZ!L28&lt;&gt;"",  OR($D$20="Year 3", $J$14 =3)))), _xlfn.CONCAT("Validated old score = ",EN_PF_YearZ!L28,"          Preliminary score = ",H28), AND(OR($D$20&lt;&gt;"",$J$14&lt;&gt;""),AND($D$20&lt;&gt;"Year 1",$J$14&lt;&gt;1),L28&lt;&gt;"", OR(AND(OR(EN_PF_Year3!$J$14= 1, EN_PF_Year3!$D$20="Year 1"), EN_PF_Year3!L28&lt;&gt;"",  OR($D$20="Year 2", $J$14 =2)), AND(OR(EN_PF_Year3!$J$14= 2, EN_PF_Year3!$D$20="Year 2"), EN_PF_Year3!L28&lt;&gt;"",  OR($D$20="Year 3", $J$14 =3)))), _xlfn.CONCAT("Validated old score = ",EN_PF_Year3!L28,"               Validated new score = ",L28), AND(OR($D$20&lt;&gt;"",$J$14&lt;&gt;""),AND($D$20&lt;&gt;"Year 1",$J$14&lt;&gt;1),L28="", H28&lt;&gt;"", OR(AND(OR(EN_PF_YearZ!$J$14= 1, EN_PF_YearZ!$D$20="Year 1"), EN_PF_YearZ!L28&lt;&gt;"",  OR($D$20="Year 2", $J$14 =2)), AND(OR(EN_PF_YearZ!$J$14= 2, EN_PF_YearZ!$D$20="Year 2"), EN_PF_YearZ!L28&lt;&gt;"",  OR($D$20="Year 3", $J$14 =3)))), _xlfn.CONCAT("Validated old score = ",EN_PF_YearZ!L28,"               Validated new score = ",L28),AND(L28&lt;&gt;"",$D$14="Yes",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",EN_PF_QualitativeBaseline!$I$16,"               Validated new score = ",L28), AND(OR($D$14="No", $D$14="", EN_PF_QualitativeBaseline!$I$16=""),OR($D$20="Year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28" s="74"/>
      <c r="M28" s="53" t="str" cm="1">
        <f t="array" ref="M28">_xlfn.IFS(I28="","", AND(OR($D$20="Year 1",$J$14=1),I28&gt;EN_PF_QualitativeBaseline!J18*9/3),_xlfn.CONCAT("The reported achievements are higher than what assessed in the previous threshold baseline, where the average score for this objective = ", EN_PF_QualitativeBaseline!J18*9/3), AND(OR($D$20="Year 1",$J$14=1), I28=EN_PF_QualitativeBaseline!J18*9/3),"The reported achievements confirm what assessed in the previous threshold baseline", AND(OR($D$20="Year 1",$J$14=1), I28&lt;EN_PF_QualitativeBaseline!J18*9/3), _xlfn.CONCAT("The reported achievements are lower than what assessed in the previous threshold baseline, where the average score for this objective = ", EN_PF_QualitativeBaseline!J18*9/3), AND(OR($D$20&lt;&gt;"",$J$14&lt;&gt;""), OR($D$20&lt;&gt;"Year 1",$J$14&lt;&gt;1), I28&gt;EN_PF_Year3!M28), _xlfn.CONCAT("The reported achievements are higher than what assessed in the previous year, where the score for this indicator= ",EN_PF_Year3!M28), AND(OR($D$20&lt;&gt;"", $J$14&lt;&gt;""), OR($D$20&lt;&gt;"Year 1",$J$14&lt;&gt;1), I28=EN_PF_Year3!M28),"The reported achievements confirm what assessed in the previous year", AND(OR($D$20&lt;&gt;"", $J$14&lt;&gt;""), OR($D$20&lt;&gt;"Year 1",$J$14&lt;&gt;1), I28&lt;EN_PF_Year3!M28), _xlfn.CONCAT("The reported achievements are lower than what assessed in the previous yearwhere the score for this indicator= ",EN_PF_Year3!M28),OR(AND($D$20="", $J$14=""), AND(OR($D$20="Year 1",$J$14=1),EN_PF_QualitativeBaseline!J18=""), AND($D$20&lt;&gt;"", $J$14&lt;&gt;"", OR($D$20&lt;&gt;"Year 1",$J$14&lt;&gt;1), EN_PF_Year3!M28="")),"")</f>
        <v/>
      </c>
      <c r="N28" s="54"/>
      <c r="O28" s="52"/>
    </row>
    <row r="29" spans="1:22" ht="110.1" customHeight="1" x14ac:dyDescent="0.2">
      <c r="A29" s="17"/>
      <c r="B29" s="427"/>
      <c r="C29" s="47" t="s">
        <v>176</v>
      </c>
      <c r="D29" s="341" t="s">
        <v>609</v>
      </c>
      <c r="E29" s="341"/>
      <c r="F29" s="341"/>
      <c r="G29" s="80"/>
      <c r="H29" s="73" t="str" cm="1">
        <f t="array" ref="H29">_xlfn.IFS(G29=EN_PF_DROPDOWN!$C$19,"3",G29=EN_PF_DROPDOWN!$C$20,"2",G29=EN_PF_DROPDOWN!$C$21,"1",G29=EN_PF_DROPDOWN!$C$22,"0",G29="","")</f>
        <v/>
      </c>
      <c r="I29" s="55"/>
      <c r="J29" s="62" t="str" cm="1">
        <f t="array" ref="J29">_xlfn.IFS(G29=EN_PF_DROPDOWN!$C$19,EN_PF_DROPDOWN!$E$19,G29=EN_PF_DROPDOWN!$C$20,EN_PF_DROPDOWN!$E$20,G29=EN_PF_DROPDOWN!$C$21,EN_PF_DROPDOWN!$E$21,G29=EN_PF_DROPDOWN!$C$22,EN_PF_DROPDOWN!$E$22,G29="","")</f>
        <v/>
      </c>
      <c r="K29" s="78" t="str" cm="1">
        <f t="array" ref="K29">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OR(AND(H29="", L29=""), AND($D$20="",$J$14=""), AND(L29="", H29&lt;&gt;"",$D$14="Yes",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1",$J$14&lt;&gt;1),H29&lt;&gt;"", OR(AND(OR(EN_PF_Year3!$J$14= 1, EN_PF_Year3!$D$20="Year 1"), EN_PF_Year3!L29="",  OR($D$20="Year 2", $J$14 =2)), AND(OR(EN_PF_Year3!$J$14= 2, EN_PF_Year3!$D$20="Year 2"), EN_PF_Year3!L29="",  OR($D$20="Year 3", $J$14 =3)))), AND(OR($D$20&lt;&gt;"",$J$14&lt;&gt;""),AND($D$20&lt;&gt;"Year 1",$J$14&lt;&gt;1),L29="", H29&lt;&gt;"", OR(AND(OR(EN_PF_YearZ!$J$14= 1, EN_PF_YearZ!$D$20="Year 1"), EN_PF_YearZ!L29="",  OR($D$20="Year 2", $J$14 =2)), AND(OR(EN_PF_YearZ!$J$14= 2, EN_PF_YearZ!$D$20="Year 2"), EN_PF_YearZ!L29="",  OR($D$20="Year 3", $J$14 =3)))))), "", AND(L29="", H29&lt;&gt;"",$D$14="Yes",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",EN_PF_QualitativeBaseline!$I$17,"     Preliminary score = ",H29), AND(OR($D$20&lt;&gt;"",$J$14&lt;&gt;""),AND($D$20&lt;&gt;"Year 1",$J$14&lt;&gt;1),L29="", H29&lt;&gt;"", OR(AND(OR(EN_PF_Year3!$J$14= 1, EN_PF_Year3!$D$20="Year 1"), EN_PF_Year3!L29&lt;&gt;"",  OR($D$20="Year 2", $J$14 =2)), AND(OR(EN_PF_Year3!$J$14= 2, EN_PF_Year3!$D$20="Year 2"), EN_PF_Year3!L29&lt;&gt;"",  OR($D$20="Year 3", $J$14 =3)))), _xlfn.CONCAT("Validated old score = ",EN_PF_Year3!L29,"          Preliminary score = ",H29), AND(OR($D$20&lt;&gt;"",$J$14&lt;&gt;""),AND($D$20&lt;&gt;"Year 1",$J$14&lt;&gt;1),L29="", H29&lt;&gt;"", OR(AND(OR(EN_PF_YearZ!$J$14= 1, EN_PF_YearZ!$D$20="Year 1"), EN_PF_YearZ!L29&lt;&gt;"",  OR($D$20="Year 2", $J$14 =2)), AND(OR(EN_PF_YearZ!$J$14= 2, EN_PF_YearZ!$D$20="Year 2"), EN_PF_YearZ!L29&lt;&gt;"",  OR($D$20="Year 3", $J$14 =3)))), _xlfn.CONCAT("Validated old score = ",EN_PF_YearZ!L29,"          Preliminary score = ",H29), AND(OR($D$20&lt;&gt;"",$J$14&lt;&gt;""),AND($D$20&lt;&gt;"Year 1",$J$14&lt;&gt;1),L29&lt;&gt;"", OR(AND(OR(EN_PF_Year3!$J$14= 1, EN_PF_Year3!$D$20="Year 1"), EN_PF_Year3!L29&lt;&gt;"",  OR($D$20="Year 2", $J$14 =2)), AND(OR(EN_PF_Year3!$J$14= 2, EN_PF_Year3!$D$20="Year 2"), EN_PF_Year3!L29&lt;&gt;"",  OR($D$20="Year 3", $J$14 =3)))), _xlfn.CONCAT("Validated old score = ",EN_PF_Year3!L29,"               Validated new score = ",L29), AND(OR($D$20&lt;&gt;"",$J$14&lt;&gt;""),AND($D$20&lt;&gt;"Year 1",$J$14&lt;&gt;1),L29="", H29&lt;&gt;"", OR(AND(OR(EN_PF_YearZ!$J$14= 1, EN_PF_YearZ!$D$20="Year 1"), EN_PF_YearZ!L29&lt;&gt;"",  OR($D$20="Year 2", $J$14 =2)), AND(OR(EN_PF_YearZ!$J$14= 2, EN_PF_YearZ!$D$20="Year 2"), EN_PF_YearZ!L29&lt;&gt;"",  OR($D$20="Year 3", $J$14 =3)))), _xlfn.CONCAT("Validated old score = ",EN_PF_YearZ!L29,"               Validated new score = ",L29),AND(L29&lt;&gt;"",$D$14="Yes",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",EN_PF_QualitativeBaseline!$I$17,"               Validated new score = ",L29), AND(OR($D$14="No", $D$14="", EN_PF_QualitativeBaseline!$I$17=""),OR($D$20="Year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29" s="74"/>
      <c r="M29" s="55"/>
      <c r="N29" s="54"/>
      <c r="O29" s="52"/>
    </row>
    <row r="30" spans="1:22" ht="110.1" customHeight="1" x14ac:dyDescent="0.2">
      <c r="A30" s="17"/>
      <c r="B30" s="427"/>
      <c r="C30" s="341" t="s">
        <v>180</v>
      </c>
      <c r="D30" s="341" t="s">
        <v>527</v>
      </c>
      <c r="E30" s="341"/>
      <c r="F30" s="341"/>
      <c r="G30" s="80"/>
      <c r="H30" s="73" t="str" cm="1">
        <f t="array" ref="H30">_xlfn.IFS(G30=EN_PF_DROPDOWN!$C$25,"3",G30=EN_PF_DROPDOWN!$C$26,"2",G30=EN_PF_DROPDOWN!$C$27,"1",G30=EN_PF_DROPDOWN!$C$28,"0",G30="","")</f>
        <v/>
      </c>
      <c r="I30" s="55"/>
      <c r="J30" s="62" t="str" cm="1">
        <f t="array" ref="J30">_xlfn.IFS(G30=EN_PF_DROPDOWN!$C$25,EN_PF_DROPDOWN!$E$25,G30=EN_PF_DROPDOWN!$C$26,EN_PF_DROPDOWN!$E$26,G30=EN_PF_DROPDOWN!$C$27,EN_PF_DROPDOWN!$E$27,G30=EN_PF_DROPDOWN!$C$28,EN_PF_DROPDOWN!$E$28,G30="","")</f>
        <v/>
      </c>
      <c r="K30" s="78" t="str" cm="1">
        <f t="array" ref="K30">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OR(AND(H30="", L30=""), AND($D$20="",$J$14=""), AND(L30="", H30&lt;&gt;"",$D$14="Yes",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1",$J$14&lt;&gt;1),H30&lt;&gt;"", OR(AND(OR(EN_PF_Year3!$J$14= 1, EN_PF_Year3!$D$20="Year 1"), EN_PF_Year3!L30="",  OR($D$20="Year 2", $J$14 =2)), AND(OR(EN_PF_Year3!$J$14= 2, EN_PF_Year3!$D$20="Year 2"), EN_PF_Year3!L30="",  OR($D$20="Year 3", $J$14 =3)))), AND(OR($D$20&lt;&gt;"",$J$14&lt;&gt;""),AND($D$20&lt;&gt;"Year 1",$J$14&lt;&gt;1),L30="", H30&lt;&gt;"", OR(AND(OR(EN_PF_YearZ!$J$14= 1, EN_PF_YearZ!$D$20="Year 1"), EN_PF_YearZ!L30="",  OR($D$20="Year 2", $J$14 =2)), AND(OR(EN_PF_YearZ!$J$14= 2, EN_PF_YearZ!$D$20="Year 2"), EN_PF_YearZ!L30="",  OR($D$20="Year 3", $J$14 =3)))))), "", AND(L30="", H30&lt;&gt;"",$D$14="Yes",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",EN_PF_QualitativeBaseline!$I$18,"     Preliminary score = ",H30), AND(OR($D$20&lt;&gt;"",$J$14&lt;&gt;""),AND($D$20&lt;&gt;"Year 1",$J$14&lt;&gt;1),L30="", H30&lt;&gt;"", OR(AND(OR(EN_PF_Year3!$J$14= 1, EN_PF_Year3!$D$20="Year 1"), EN_PF_Year3!L30&lt;&gt;"",  OR($D$20="Year 2", $J$14 =2)), AND(OR(EN_PF_Year3!$J$14= 2, EN_PF_Year3!$D$20="Year 2"), EN_PF_Year3!L30&lt;&gt;"",  OR($D$20="Year 3", $J$14 =3)))), _xlfn.CONCAT("Validated old score = ",EN_PF_Year3!L30,"          Preliminary score = ",H30), AND(OR($D$20&lt;&gt;"",$J$14&lt;&gt;""),AND($D$20&lt;&gt;"Year 1",$J$14&lt;&gt;1),L30="", H30&lt;&gt;"", OR(AND(OR(EN_PF_YearZ!$J$14= 1, EN_PF_YearZ!$D$20="Year 1"), EN_PF_YearZ!L30&lt;&gt;"",  OR($D$20="Year 2", $J$14 =2)), AND(OR(EN_PF_YearZ!$J$14= 2, EN_PF_YearZ!$D$20="Year 2"), EN_PF_YearZ!L30&lt;&gt;"",  OR($D$20="Year 3", $J$14 =3)))), _xlfn.CONCAT("Validated old score = ",EN_PF_YearZ!L30,"          Preliminary score = ",H30), AND(OR($D$20&lt;&gt;"",$J$14&lt;&gt;""),AND($D$20&lt;&gt;"Year 1",$J$14&lt;&gt;1),L30&lt;&gt;"", OR(AND(OR(EN_PF_Year3!$J$14= 1, EN_PF_Year3!$D$20="Year 1"), EN_PF_Year3!L30&lt;&gt;"",  OR($D$20="Year 2", $J$14 =2)), AND(OR(EN_PF_Year3!$J$14= 2, EN_PF_Year3!$D$20="Year 2"), EN_PF_Year3!L30&lt;&gt;"",  OR($D$20="Year 3", $J$14 =3)))), _xlfn.CONCAT("Validated old score = ",EN_PF_Year3!L30,"               Validated new score = ",L30), AND(OR($D$20&lt;&gt;"",$J$14&lt;&gt;""),AND($D$20&lt;&gt;"Year 1",$J$14&lt;&gt;1),L30="", H30&lt;&gt;"", OR(AND(OR(EN_PF_YearZ!$J$14= 1, EN_PF_YearZ!$D$20="Year 1"), EN_PF_YearZ!L30&lt;&gt;"",  OR($D$20="Year 2", $J$14 =2)), AND(OR(EN_PF_YearZ!$J$14= 2, EN_PF_YearZ!$D$20="Year 2"), EN_PF_YearZ!L30&lt;&gt;"",  OR($D$20="Year 3", $J$14 =3)))), _xlfn.CONCAT("Validated old score = ",EN_PF_YearZ!L30,"               Validated new score = ",L30),AND(L30&lt;&gt;"",$D$14="Yes",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",EN_PF_QualitativeBaseline!$I$18,"               Validated new score = ",L30), AND(OR($D$14="No", $D$14="", EN_PF_QualitativeBaseline!$I$18=""),OR($D$20="Year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0" s="74"/>
      <c r="M30" s="55"/>
      <c r="N30" s="54"/>
      <c r="O30" s="52"/>
    </row>
    <row r="31" spans="1:22" ht="110.1" customHeight="1" x14ac:dyDescent="0.2">
      <c r="A31" s="17"/>
      <c r="B31" s="427"/>
      <c r="C31" s="410"/>
      <c r="D31" s="341" t="s">
        <v>381</v>
      </c>
      <c r="E31" s="410"/>
      <c r="F31" s="410"/>
      <c r="G31" s="80"/>
      <c r="H31" s="73" t="str" cm="1">
        <f t="array" ref="H31">_xlfn.IFS(G31=EN_PF_DROPDOWN!$C$31,"3",G31=EN_PF_DROPDOWN!$C$32,"2",G31=EN_PF_DROPDOWN!$C$33,"1",G31=EN_PF_DROPDOWN!$C$34,"0",G31="","")</f>
        <v/>
      </c>
      <c r="I31" s="55"/>
      <c r="J31" s="62" t="str" cm="1">
        <f t="array" ref="J31">_xlfn.IFS(G31=EN_PF_DROPDOWN!$C$31,EN_PF_DROPDOWN!$E$31,G31=EN_PF_DROPDOWN!$C$32,EN_PF_DROPDOWN!$E$32,G31=EN_PF_DROPDOWN!$C$33,EN_PF_DROPDOWN!$E$33,G31=EN_PF_DROPDOWN!$C$34,EN_PF_DROPDOWN!$E$34,G31="","")</f>
        <v/>
      </c>
      <c r="K31" s="78" t="str" cm="1">
        <f t="array" ref="K31">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OR(AND(H31="", L31=""), AND($D$20="",$J$14=""), AND(L31="", H31&lt;&gt;"",$D$14="Yes",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1",$J$14&lt;&gt;1),H31&lt;&gt;"", OR(AND(OR(EN_PF_Year3!$J$14= 1, EN_PF_Year3!$D$20="Year 1"), EN_PF_Year3!L31="",  OR($D$20="Year 2", $J$14 =2)), AND(OR(EN_PF_Year3!$J$14= 2, EN_PF_Year3!$D$20="Year 2"), EN_PF_Year3!L31="",  OR($D$20="Year 3", $J$14 =3)))), AND(OR($D$20&lt;&gt;"",$J$14&lt;&gt;""),AND($D$20&lt;&gt;"Year 1",$J$14&lt;&gt;1),L31="", H31&lt;&gt;"", OR(AND(OR(EN_PF_YearZ!$J$14= 1, EN_PF_YearZ!$D$20="Year 1"), EN_PF_YearZ!L31="",  OR($D$20="Year 2", $J$14 =2)), AND(OR(EN_PF_YearZ!$J$14= 2, EN_PF_YearZ!$D$20="Year 2"), EN_PF_YearZ!L31="",  OR($D$20="Year 3", $J$14 =3)))))), "", AND(L31="", H31&lt;&gt;"",$D$14="Yes",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",EN_PF_QualitativeBaseline!$I$18,"     Preliminary score = ",H31), AND(OR($D$20&lt;&gt;"",$J$14&lt;&gt;""),AND($D$20&lt;&gt;"Year 1",$J$14&lt;&gt;1),L31="", H31&lt;&gt;"", OR(AND(OR(EN_PF_Year3!$J$14= 1, EN_PF_Year3!$D$20="Year 1"), EN_PF_Year3!L31&lt;&gt;"",  OR($D$20="Year 2", $J$14 =2)), AND(OR(EN_PF_Year3!$J$14= 2, EN_PF_Year3!$D$20="Year 2"), EN_PF_Year3!L31&lt;&gt;"",  OR($D$20="Year 3", $J$14 =3)))), _xlfn.CONCAT("Validated old score = ",EN_PF_Year3!L31,"          Preliminary score = ",H31), AND(OR($D$20&lt;&gt;"",$J$14&lt;&gt;""),AND($D$20&lt;&gt;"Year 1",$J$14&lt;&gt;1),L31="", H31&lt;&gt;"", OR(AND(OR(EN_PF_YearZ!$J$14= 1, EN_PF_YearZ!$D$20="Year 1"), EN_PF_YearZ!L31&lt;&gt;"",  OR($D$20="Year 2", $J$14 =2)), AND(OR(EN_PF_YearZ!$J$14= 2, EN_PF_YearZ!$D$20="Year 2"), EN_PF_YearZ!L31&lt;&gt;"",  OR($D$20="Year 3", $J$14 =3)))), _xlfn.CONCAT("Validated old score = ",EN_PF_YearZ!L31,"          Preliminary score = ",H31), AND(OR($D$20&lt;&gt;"",$J$14&lt;&gt;""),AND($D$20&lt;&gt;"Year 1",$J$14&lt;&gt;1),L31&lt;&gt;"", OR(AND(OR(EN_PF_Year3!$J$14= 1, EN_PF_Year3!$D$20="Year 1"), EN_PF_Year3!L31&lt;&gt;"",  OR($D$20="Year 2", $J$14 =2)), AND(OR(EN_PF_Year3!$J$14= 2, EN_PF_Year3!$D$20="Year 2"), EN_PF_Year3!L31&lt;&gt;"",  OR($D$20="Year 3", $J$14 =3)))), _xlfn.CONCAT("Validated old score = ",EN_PF_Year3!L31,"               Validated new score = ",L31), AND(OR($D$20&lt;&gt;"",$J$14&lt;&gt;""),AND($D$20&lt;&gt;"Year 1",$J$14&lt;&gt;1),L31="", H31&lt;&gt;"", OR(AND(OR(EN_PF_YearZ!$J$14= 1, EN_PF_YearZ!$D$20="Year 1"), EN_PF_YearZ!L31&lt;&gt;"",  OR($D$20="Year 2", $J$14 =2)), AND(OR(EN_PF_YearZ!$J$14= 2, EN_PF_YearZ!$D$20="Year 2"), EN_PF_YearZ!L31&lt;&gt;"",  OR($D$20="Year 3", $J$14 =3)))), _xlfn.CONCAT("Validated old score = ",EN_PF_YearZ!L31,"               Validated new score = ",L31),AND(L31&lt;&gt;"",$D$14="Yes",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",EN_PF_QualitativeBaseline!$I$18,"               Validated new score = ",L31), AND(OR($D$14="No", $D$14="", EN_PF_QualitativeBaseline!$I$18=""),OR($D$20="Year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1" s="74"/>
      <c r="M31" s="55"/>
      <c r="N31" s="54"/>
      <c r="O31" s="52"/>
    </row>
    <row r="32" spans="1:22" ht="110.1" customHeight="1" x14ac:dyDescent="0.2">
      <c r="A32" s="17"/>
      <c r="B32" s="427"/>
      <c r="C32" s="410"/>
      <c r="D32" s="341" t="s">
        <v>189</v>
      </c>
      <c r="E32" s="341"/>
      <c r="F32" s="341"/>
      <c r="G32" s="80"/>
      <c r="H32" s="73" t="str" cm="1">
        <f t="array" ref="H32">_xlfn.IFS(G32=EN_PF_DROPDOWN!$C$37,"2",G32=EN_PF_DROPDOWN!$C$38,"0",G32="","")</f>
        <v/>
      </c>
      <c r="I32" s="55"/>
      <c r="J32" s="62" t="str" cm="1">
        <f t="array" ref="J32">_xlfn.IFS(G32=EN_PF_DROPDOWN!$C$37,EN_PF_DROPDOWN!$E$37,G32=EN_PF_DROPDOWN!$C$38,EN_PF_DROPDOWN!$E$38,G32="","")</f>
        <v/>
      </c>
      <c r="K32" s="78" t="str" cm="1">
        <f t="array" ref="K32">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OR(AND(H32="", L32=""), AND($D$20="",$J$14=""), AND(L32="", H32&lt;&gt;"",$D$14="Yes",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1",$J$14&lt;&gt;1),H32&lt;&gt;"", OR(AND(OR(EN_PF_Year3!$J$14= 1, EN_PF_Year3!$D$20="Year 1"), EN_PF_Year3!L32="",  OR($D$20="Year 2", $J$14 =2)), AND(OR(EN_PF_Year3!$J$14= 2, EN_PF_Year3!$D$20="Year 2"), EN_PF_Year3!L32="",  OR($D$20="Year 3", $J$14 =3)))), AND(OR($D$20&lt;&gt;"",$J$14&lt;&gt;""),AND($D$20&lt;&gt;"Year 1",$J$14&lt;&gt;1),L32="", H32&lt;&gt;"", OR(AND(OR(EN_PF_YearZ!$J$14= 1, EN_PF_YearZ!$D$20="Year 1"), EN_PF_YearZ!L32="",  OR($D$20="Year 2", $J$14 =2)), AND(OR(EN_PF_YearZ!$J$14= 2, EN_PF_YearZ!$D$20="Year 2"), EN_PF_YearZ!L32="",  OR($D$20="Year 3", $J$14 =3)))))), "", AND(L32="", H32&lt;&gt;"",$D$14="Yes",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",EN_PF_QualitativeBaseline!$I$18,"     Preliminary score = ",H32), AND(OR($D$20&lt;&gt;"",$J$14&lt;&gt;""),AND($D$20&lt;&gt;"Year 1",$J$14&lt;&gt;1),L32="", H32&lt;&gt;"", OR(AND(OR(EN_PF_Year3!$J$14= 1, EN_PF_Year3!$D$20="Year 1"), EN_PF_Year3!L32&lt;&gt;"",  OR($D$20="Year 2", $J$14 =2)), AND(OR(EN_PF_Year3!$J$14= 2, EN_PF_Year3!$D$20="Year 2"), EN_PF_Year3!L32&lt;&gt;"",  OR($D$20="Year 3", $J$14 =3)))), _xlfn.CONCAT("Validated old score = ",EN_PF_Year3!L32,"          Preliminary score = ",H32), AND(OR($D$20&lt;&gt;"",$J$14&lt;&gt;""),AND($D$20&lt;&gt;"Year 1",$J$14&lt;&gt;1),L32="", H32&lt;&gt;"", OR(AND(OR(EN_PF_YearZ!$J$14= 1, EN_PF_YearZ!$D$20="Year 1"), EN_PF_YearZ!L32&lt;&gt;"",  OR($D$20="Year 2", $J$14 =2)), AND(OR(EN_PF_YearZ!$J$14= 2, EN_PF_YearZ!$D$20="Year 2"), EN_PF_YearZ!L32&lt;&gt;"",  OR($D$20="Year 3", $J$14 =3)))), _xlfn.CONCAT("Validated old score = ",EN_PF_YearZ!L32,"          Preliminary score = ",H32), AND(OR($D$20&lt;&gt;"",$J$14&lt;&gt;""),AND($D$20&lt;&gt;"Year 1",$J$14&lt;&gt;1),L32&lt;&gt;"", OR(AND(OR(EN_PF_Year3!$J$14= 1, EN_PF_Year3!$D$20="Year 1"), EN_PF_Year3!L32&lt;&gt;"",  OR($D$20="Year 2", $J$14 =2)), AND(OR(EN_PF_Year3!$J$14= 2, EN_PF_Year3!$D$20="Year 2"), EN_PF_Year3!L32&lt;&gt;"",  OR($D$20="Year 3", $J$14 =3)))), _xlfn.CONCAT("Validated old score = ",EN_PF_Year3!L32,"               Validated new score = ",L32), AND(OR($D$20&lt;&gt;"",$J$14&lt;&gt;""),AND($D$20&lt;&gt;"Year 1",$J$14&lt;&gt;1),L32="", H32&lt;&gt;"", OR(AND(OR(EN_PF_YearZ!$J$14= 1, EN_PF_YearZ!$D$20="Year 1"), EN_PF_YearZ!L32&lt;&gt;"",  OR($D$20="Year 2", $J$14 =2)), AND(OR(EN_PF_YearZ!$J$14= 2, EN_PF_YearZ!$D$20="Year 2"), EN_PF_YearZ!L32&lt;&gt;"",  OR($D$20="Year 3", $J$14 =3)))), _xlfn.CONCAT("Validated old score = ",EN_PF_YearZ!L32,"               Validated new score = ",L32),AND(L32&lt;&gt;"",$D$14="Yes",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",EN_PF_QualitativeBaseline!$I$18,"               Validated new score = ",L32), AND(OR($D$14="No", $D$14="", EN_PF_QualitativeBaseline!$I$18=""),OR($D$20="Year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2" s="74"/>
      <c r="M32" s="55"/>
      <c r="N32" s="54"/>
      <c r="O32" s="52"/>
    </row>
    <row r="33" spans="1:15" ht="110.1" customHeight="1" x14ac:dyDescent="0.2">
      <c r="A33" s="17"/>
      <c r="B33" s="427"/>
      <c r="C33" s="47" t="s">
        <v>181</v>
      </c>
      <c r="D33" s="410" t="s">
        <v>154</v>
      </c>
      <c r="E33" s="410"/>
      <c r="F33" s="410"/>
      <c r="G33" s="80"/>
      <c r="H33" s="73" t="str" cm="1">
        <f t="array" ref="H33">_xlfn.IFS(G33=EN_PF_DROPDOWN!$C$41,"3",G33=EN_PF_DROPDOWN!$C$42,"2",G33=EN_PF_DROPDOWN!$C$43,"1",G33=EN_PF_DROPDOWN!$C$44,"0",G33="","")</f>
        <v/>
      </c>
      <c r="I33" s="55"/>
      <c r="J33" s="62" t="str" cm="1">
        <f t="array" ref="J33">_xlfn.IFS(G33=EN_PF_DROPDOWN!$C$41,EN_PF_DROPDOWN!$E$41,G33=EN_PF_DROPDOWN!$C$42,EN_PF_DROPDOWN!$E$42,G33=EN_PF_DROPDOWN!$C$43,EN_PF_DROPDOWN!$E$43,G33=EN_PF_DROPDOWN!$C$44,EN_PF_DROPDOWN!$E$44,G33="","")</f>
        <v/>
      </c>
      <c r="K33" s="78" t="str" cm="1">
        <f t="array" ref="K33">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OR(AND(H33="", L33=""), AND($D$20="",$J$14=""), AND(L33="", H33&lt;&gt;"",$D$14="Yes",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1",$J$14&lt;&gt;1),H33&lt;&gt;"", OR(AND(OR(EN_PF_Year3!$J$14= 1, EN_PF_Year3!$D$20="Year 1"), EN_PF_Year3!L33="",  OR($D$20="Year 2", $J$14 =2)), AND(OR(EN_PF_Year3!$J$14= 2, EN_PF_Year3!$D$20="Year 2"), EN_PF_Year3!L33="",  OR($D$20="Year 3", $J$14 =3)))), AND(OR($D$20&lt;&gt;"",$J$14&lt;&gt;""),AND($D$20&lt;&gt;"Year 1",$J$14&lt;&gt;1),L33="", H33&lt;&gt;"", OR(AND(OR(EN_PF_YearZ!$J$14= 1, EN_PF_YearZ!$D$20="Year 1"), EN_PF_YearZ!L33="",  OR($D$20="Year 2", $J$14 =2)), AND(OR(EN_PF_YearZ!$J$14= 2, EN_PF_YearZ!$D$20="Year 2"), EN_PF_YearZ!L33="",  OR($D$20="Year 3", $J$14 =3)))))), "", AND(L33="", H33&lt;&gt;"",$D$14="Yes",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",EN_PF_QualitativeBaseline!$I$19,"     Preliminary score = ",H33), AND(OR($D$20&lt;&gt;"",$J$14&lt;&gt;""),AND($D$20&lt;&gt;"Year 1",$J$14&lt;&gt;1),L33="", H33&lt;&gt;"", OR(AND(OR(EN_PF_Year3!$J$14= 1, EN_PF_Year3!$D$20="Year 1"), EN_PF_Year3!L33&lt;&gt;"",  OR($D$20="Year 2", $J$14 =2)), AND(OR(EN_PF_Year3!$J$14= 2, EN_PF_Year3!$D$20="Year 2"), EN_PF_Year3!L33&lt;&gt;"",  OR($D$20="Year 3", $J$14 =3)))), _xlfn.CONCAT("Validated old score = ",EN_PF_Year3!L33,"          Preliminary score = ",H33), AND(OR($D$20&lt;&gt;"",$J$14&lt;&gt;""),AND($D$20&lt;&gt;"Year 1",$J$14&lt;&gt;1),L33="", H33&lt;&gt;"", OR(AND(OR(EN_PF_YearZ!$J$14= 1, EN_PF_YearZ!$D$20="Year 1"), EN_PF_YearZ!L33&lt;&gt;"",  OR($D$20="Year 2", $J$14 =2)), AND(OR(EN_PF_YearZ!$J$14= 2, EN_PF_YearZ!$D$20="Year 2"), EN_PF_YearZ!L33&lt;&gt;"",  OR($D$20="Year 3", $J$14 =3)))), _xlfn.CONCAT("Validated old score = ",EN_PF_YearZ!L33,"          Preliminary score = ",H33), AND(OR($D$20&lt;&gt;"",$J$14&lt;&gt;""),AND($D$20&lt;&gt;"Year 1",$J$14&lt;&gt;1),L33&lt;&gt;"", OR(AND(OR(EN_PF_Year3!$J$14= 1, EN_PF_Year3!$D$20="Year 1"), EN_PF_Year3!L33&lt;&gt;"",  OR($D$20="Year 2", $J$14 =2)), AND(OR(EN_PF_Year3!$J$14= 2, EN_PF_Year3!$D$20="Year 2"), EN_PF_Year3!L33&lt;&gt;"",  OR($D$20="Year 3", $J$14 =3)))), _xlfn.CONCAT("Validated old score = ",EN_PF_Year3!L33,"               Validated new score = ",L33), AND(OR($D$20&lt;&gt;"",$J$14&lt;&gt;""),AND($D$20&lt;&gt;"Year 1",$J$14&lt;&gt;1),L33="", H33&lt;&gt;"", OR(AND(OR(EN_PF_YearZ!$J$14= 1, EN_PF_YearZ!$D$20="Year 1"), EN_PF_YearZ!L33&lt;&gt;"",  OR($D$20="Year 2", $J$14 =2)), AND(OR(EN_PF_YearZ!$J$14= 2, EN_PF_YearZ!$D$20="Year 2"), EN_PF_YearZ!L33&lt;&gt;"",  OR($D$20="Year 3", $J$14 =3)))), _xlfn.CONCAT("Validated old score = ",EN_PF_YearZ!L33,"               Validated new score = ",L33),AND(L33&lt;&gt;"",$D$14="Yes",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",EN_PF_QualitativeBaseline!$I$19,"               Validated new score = ",L33), AND(OR($D$14="No", $D$14="", EN_PF_QualitativeBaseline!$I$19=""),OR($D$20="Year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3" s="74"/>
      <c r="M33" s="55"/>
      <c r="N33" s="54"/>
      <c r="O33" s="52"/>
    </row>
    <row r="34" spans="1:15" ht="110.1" customHeight="1" x14ac:dyDescent="0.2">
      <c r="A34" s="17"/>
      <c r="B34" s="424" t="s">
        <v>113</v>
      </c>
      <c r="C34" s="341" t="s">
        <v>177</v>
      </c>
      <c r="D34" s="410" t="s">
        <v>166</v>
      </c>
      <c r="E34" s="410"/>
      <c r="F34" s="410"/>
      <c r="G34" s="80"/>
      <c r="H34" s="73" t="str" cm="1">
        <f t="array" ref="H34">_xlfn.IFS(G34=EN_PF_DROPDOWN!G3,"3",G34=EN_PF_DROPDOWN!G4,"2",G34=EN_PF_DROPDOWN!G5,"1",G34=EN_PF_DROPDOWN!G6,"0",G34="","")</f>
        <v/>
      </c>
      <c r="I34" s="55"/>
      <c r="J34" s="62" t="str" cm="1">
        <f t="array" ref="J34">_xlfn.IFS(G34=EN_PF_DROPDOWN!G3,EN_PF_DROPDOWN!I3,G34=EN_PF_DROPDOWN!G4,EN_PF_DROPDOWN!I4,G34=EN_PF_DROPDOWN!G5,EN_PF_DROPDOWN!I5,G34=EN_PF_DROPDOWN!G6,EN_PF_DROPDOWN!I6,G34="","",G34="","")</f>
        <v/>
      </c>
      <c r="K34" s="78" t="str" cm="1">
        <f t="array" ref="K34">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OR(AND(H34="", L34=""), AND($D$20="",$J$14=""), AND(L34="", H34&lt;&gt;"",$D$14="Yes",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1",$J$14&lt;&gt;1),H34&lt;&gt;"", OR(AND(OR(EN_PF_Year3!$J$14= 1, EN_PF_Year3!$D$20="Year 1"), EN_PF_Year3!L34="",  OR($D$20="Year 2", $J$14 =2)), AND(OR(EN_PF_Year3!$J$14= 2, EN_PF_Year3!$D$20="Year 2"), EN_PF_Year3!L34="",  OR($D$20="Year 3", $J$14 =3)))), AND(OR($D$20&lt;&gt;"",$J$14&lt;&gt;""),AND($D$20&lt;&gt;"Year 1",$J$14&lt;&gt;1),L34="", H34&lt;&gt;"", OR(AND(OR(EN_PF_YearZ!$J$14= 1, EN_PF_YearZ!$D$20="Year 1"), EN_PF_YearZ!L34="",  OR($D$20="Year 2", $J$14 =2)), AND(OR(EN_PF_YearZ!$J$14= 2, EN_PF_YearZ!$D$20="Year 2"), EN_PF_YearZ!L34="",  OR($D$20="Year 3", $J$14 =3)))))), "", AND(L34="", H34&lt;&gt;"",$D$14="Yes",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Preliminary score = ",H34), AND(OR($D$20&lt;&gt;"",$J$14&lt;&gt;""),AND($D$20&lt;&gt;"Year 1",$J$14&lt;&gt;1),L34="", H34&lt;&gt;"", OR(AND(OR(EN_PF_Year3!$J$14= 1, EN_PF_Year3!$D$20="Year 1"), EN_PF_Year3!L34&lt;&gt;"",  OR($D$20="Year 2", $J$14 =2)), AND(OR(EN_PF_Year3!$J$14= 2, EN_PF_Year3!$D$20="Year 2"), EN_PF_Year3!L34&lt;&gt;"",  OR($D$20="Year 3", $J$14 =3)))), _xlfn.CONCAT("Validated old score = ",EN_PF_Year3!L34,"          Preliminary score = ",H34), AND(OR($D$20&lt;&gt;"",$J$14&lt;&gt;""),AND($D$20&lt;&gt;"Year 1",$J$14&lt;&gt;1),L34="", H34&lt;&gt;"", OR(AND(OR(EN_PF_YearZ!$J$14= 1, EN_PF_YearZ!$D$20="Year 1"), EN_PF_YearZ!L34&lt;&gt;"",  OR($D$20="Year 2", $J$14 =2)), AND(OR(EN_PF_YearZ!$J$14= 2, EN_PF_YearZ!$D$20="Year 2"), EN_PF_YearZ!L34&lt;&gt;"",  OR($D$20="Year 3", $J$14 =3)))), _xlfn.CONCAT("Validated old score = ",EN_PF_YearZ!L34,"          Preliminary score = ",H34), AND(OR($D$20&lt;&gt;"",$J$14&lt;&gt;""),AND($D$20&lt;&gt;"Year 1",$J$14&lt;&gt;1),L34&lt;&gt;"", OR(AND(OR(EN_PF_Year3!$J$14= 1, EN_PF_Year3!$D$20="Year 1"), EN_PF_Year3!L34&lt;&gt;"",  OR($D$20="Year 2", $J$14 =2)), AND(OR(EN_PF_Year3!$J$14= 2, EN_PF_Year3!$D$20="Year 2"), EN_PF_Year3!L34&lt;&gt;"",  OR($D$20="Year 3", $J$14 =3)))), _xlfn.CONCAT("Validated old score = ",EN_PF_Year3!L34,"               Validated new score = ",L34), AND(OR($D$20&lt;&gt;"",$J$14&lt;&gt;""),AND($D$20&lt;&gt;"Year 1",$J$14&lt;&gt;1),L34="", H34&lt;&gt;"", OR(AND(OR(EN_PF_YearZ!$J$14= 1, EN_PF_YearZ!$D$20="Year 1"), EN_PF_YearZ!L34&lt;&gt;"",  OR($D$20="Year 2", $J$14 =2)), AND(OR(EN_PF_YearZ!$J$14= 2, EN_PF_YearZ!$D$20="Year 2"), EN_PF_YearZ!L34&lt;&gt;"",  OR($D$20="Year 3", $J$14 =3)))), _xlfn.CONCAT("Validated old score = ",EN_PF_YearZ!L34,"               Validated new score = ",L34),AND(L34&lt;&gt;"",$D$14="Yes",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Validated new score = ",L34), AND(OR($D$14="No", $D$14="", EN_PF_QualitativeBaseline!$I$20=""),OR($D$20="Year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4" s="74"/>
      <c r="M34" s="55"/>
      <c r="N34" s="54"/>
      <c r="O34" s="52"/>
    </row>
    <row r="35" spans="1:15" ht="110.1" customHeight="1" x14ac:dyDescent="0.2">
      <c r="A35" s="17"/>
      <c r="B35" s="425"/>
      <c r="C35" s="410"/>
      <c r="D35" s="341" t="s">
        <v>440</v>
      </c>
      <c r="E35" s="341"/>
      <c r="F35" s="341"/>
      <c r="G35" s="80"/>
      <c r="H35" s="73" t="str" cm="1">
        <f t="array" ref="H35">_xlfn.IFS(G35=EN_PF_DROPDOWN!G9,"3",G35=EN_PF_DROPDOWN!G10,"2",G35=EN_PF_DROPDOWN!G11,"0",G35="","")</f>
        <v/>
      </c>
      <c r="I35" s="55"/>
      <c r="J35" s="62" t="str" cm="1">
        <f t="array" ref="J35">_xlfn.IFS(G35=EN_PF_DROPDOWN!G9,EN_PF_DROPDOWN!I9,G35=EN_PF_DROPDOWN!G10,EN_PF_DROPDOWN!I10,G35=EN_PF_DROPDOWN!G11,EN_PF_DROPDOWN!I11,G35="","")</f>
        <v/>
      </c>
      <c r="K35" s="78" t="str" cm="1">
        <f t="array" ref="K35">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OR(AND(H35="", L35=""), AND($D$20="",$J$14=""), AND(L35="", H35&lt;&gt;"",$D$14="Yes",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1",$J$14&lt;&gt;1),H35&lt;&gt;"", OR(AND(OR(EN_PF_Year3!$J$14= 1, EN_PF_Year3!$D$20="Year 1"), EN_PF_Year3!L35="",  OR($D$20="Year 2", $J$14 =2)), AND(OR(EN_PF_Year3!$J$14= 2, EN_PF_Year3!$D$20="Year 2"), EN_PF_Year3!L35="",  OR($D$20="Year 3", $J$14 =3)))), AND(OR($D$20&lt;&gt;"",$J$14&lt;&gt;""),AND($D$20&lt;&gt;"Year 1",$J$14&lt;&gt;1),L35="", H35&lt;&gt;"", OR(AND(OR(EN_PF_YearZ!$J$14= 1, EN_PF_YearZ!$D$20="Year 1"), EN_PF_YearZ!L35="",  OR($D$20="Year 2", $J$14 =2)), AND(OR(EN_PF_YearZ!$J$14= 2, EN_PF_YearZ!$D$20="Year 2"), EN_PF_YearZ!L35="",  OR($D$20="Year 3", $J$14 =3)))))), "", AND(L35="", H35&lt;&gt;"",$D$14="Yes",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Preliminary score = ",H35), AND(OR($D$20&lt;&gt;"",$J$14&lt;&gt;""),AND($D$20&lt;&gt;"Year 1",$J$14&lt;&gt;1),L35="", H35&lt;&gt;"", OR(AND(OR(EN_PF_Year3!$J$14= 1, EN_PF_Year3!$D$20="Year 1"), EN_PF_Year3!L35&lt;&gt;"",  OR($D$20="Year 2", $J$14 =2)), AND(OR(EN_PF_Year3!$J$14= 2, EN_PF_Year3!$D$20="Year 2"), EN_PF_Year3!L35&lt;&gt;"",  OR($D$20="Year 3", $J$14 =3)))), _xlfn.CONCAT("Validated old score = ",EN_PF_Year3!L35,"          Preliminary score = ",H35), AND(OR($D$20&lt;&gt;"",$J$14&lt;&gt;""),AND($D$20&lt;&gt;"Year 1",$J$14&lt;&gt;1),L35="", H35&lt;&gt;"", OR(AND(OR(EN_PF_YearZ!$J$14= 1, EN_PF_YearZ!$D$20="Year 1"), EN_PF_YearZ!L35&lt;&gt;"",  OR($D$20="Year 2", $J$14 =2)), AND(OR(EN_PF_YearZ!$J$14= 2, EN_PF_YearZ!$D$20="Year 2"), EN_PF_YearZ!L35&lt;&gt;"",  OR($D$20="Year 3", $J$14 =3)))), _xlfn.CONCAT("Validated old score = ",EN_PF_YearZ!L35,"          Preliminary score = ",H35), AND(OR($D$20&lt;&gt;"",$J$14&lt;&gt;""),AND($D$20&lt;&gt;"Year 1",$J$14&lt;&gt;1),L35&lt;&gt;"", OR(AND(OR(EN_PF_Year3!$J$14= 1, EN_PF_Year3!$D$20="Year 1"), EN_PF_Year3!L35&lt;&gt;"",  OR($D$20="Year 2", $J$14 =2)), AND(OR(EN_PF_Year3!$J$14= 2, EN_PF_Year3!$D$20="Year 2"), EN_PF_Year3!L35&lt;&gt;"",  OR($D$20="Year 3", $J$14 =3)))), _xlfn.CONCAT("Validated old score = ",EN_PF_Year3!L35,"               Validated new score = ",L35), AND(OR($D$20&lt;&gt;"",$J$14&lt;&gt;""),AND($D$20&lt;&gt;"Year 1",$J$14&lt;&gt;1),L35="", H35&lt;&gt;"", OR(AND(OR(EN_PF_YearZ!$J$14= 1, EN_PF_YearZ!$D$20="Year 1"), EN_PF_YearZ!L35&lt;&gt;"",  OR($D$20="Year 2", $J$14 =2)), AND(OR(EN_PF_YearZ!$J$14= 2, EN_PF_YearZ!$D$20="Year 2"), EN_PF_YearZ!L35&lt;&gt;"",  OR($D$20="Year 3", $J$14 =3)))), _xlfn.CONCAT("Validated old score = ",EN_PF_YearZ!L35,"               Validated new score = ",L35),AND(L35&lt;&gt;"",$D$14="Yes",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Validated new score = ",L35), AND(OR($D$14="No", $D$14="", EN_PF_QualitativeBaseline!$I$20=""),OR($D$20="Year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5" s="74"/>
      <c r="M35" s="55"/>
      <c r="N35" s="54"/>
      <c r="O35" s="52"/>
    </row>
    <row r="36" spans="1:15" ht="110.1" customHeight="1" x14ac:dyDescent="0.2">
      <c r="A36" s="17"/>
      <c r="B36" s="425"/>
      <c r="C36" s="410"/>
      <c r="D36" s="341" t="s">
        <v>382</v>
      </c>
      <c r="E36" s="341"/>
      <c r="F36" s="341"/>
      <c r="G36" s="80"/>
      <c r="H36" s="73" t="str" cm="1">
        <f t="array" ref="H36">_xlfn.IFS(G36=EN_PF_DROPDOWN!G14,"3",G36=EN_PF_DROPDOWN!G15,"2",G36=EN_PF_DROPDOWN!G16,"1",G36=EN_PF_DROPDOWN!G17,"0",G36="","")</f>
        <v/>
      </c>
      <c r="I36" s="55"/>
      <c r="J36" s="62" t="str" cm="1">
        <f t="array" ref="J36">_xlfn.IFS(G36=EN_PF_DROPDOWN!G14,EN_PF_DROPDOWN!I14,G36=EN_PF_DROPDOWN!G15,EN_PF_DROPDOWN!I15,G36=EN_PF_DROPDOWN!G16,EN_PF_DROPDOWN!I16,G36=EN_PF_DROPDOWN!G17,EN_PF_DROPDOWN!I17,G36="","")</f>
        <v/>
      </c>
      <c r="K36" s="78" t="str" cm="1">
        <f t="array" ref="K36">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OR(AND(H36="", L36=""), AND($D$20="",$J$14=""), AND(L36="", H36&lt;&gt;"",$D$14="Yes",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1",$J$14&lt;&gt;1),H36&lt;&gt;"", OR(AND(OR(EN_PF_Year3!$J$14= 1, EN_PF_Year3!$D$20="Year 1"), EN_PF_Year3!L36="",  OR($D$20="Year 2", $J$14 =2)), AND(OR(EN_PF_Year3!$J$14= 2, EN_PF_Year3!$D$20="Year 2"), EN_PF_Year3!L36="",  OR($D$20="Year 3", $J$14 =3)))), AND(OR($D$20&lt;&gt;"",$J$14&lt;&gt;""),AND($D$20&lt;&gt;"Year 1",$J$14&lt;&gt;1),L36="", H36&lt;&gt;"", OR(AND(OR(EN_PF_YearZ!$J$14= 1, EN_PF_YearZ!$D$20="Year 1"), EN_PF_YearZ!L36="",  OR($D$20="Year 2", $J$14 =2)), AND(OR(EN_PF_YearZ!$J$14= 2, EN_PF_YearZ!$D$20="Year 2"), EN_PF_YearZ!L36="",  OR($D$20="Year 3", $J$14 =3)))))), "", AND(L36="", H36&lt;&gt;"",$D$14="Yes",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Preliminary score = ",H36), AND(OR($D$20&lt;&gt;"",$J$14&lt;&gt;""),AND($D$20&lt;&gt;"Year 1",$J$14&lt;&gt;1),L36="", H36&lt;&gt;"", OR(AND(OR(EN_PF_Year3!$J$14= 1, EN_PF_Year3!$D$20="Year 1"), EN_PF_Year3!L36&lt;&gt;"",  OR($D$20="Year 2", $J$14 =2)), AND(OR(EN_PF_Year3!$J$14= 2, EN_PF_Year3!$D$20="Year 2"), EN_PF_Year3!L36&lt;&gt;"",  OR($D$20="Year 3", $J$14 =3)))), _xlfn.CONCAT("Validated old score = ",EN_PF_Year3!L36,"          Preliminary score = ",H36), AND(OR($D$20&lt;&gt;"",$J$14&lt;&gt;""),AND($D$20&lt;&gt;"Year 1",$J$14&lt;&gt;1),L36="", H36&lt;&gt;"", OR(AND(OR(EN_PF_YearZ!$J$14= 1, EN_PF_YearZ!$D$20="Year 1"), EN_PF_YearZ!L36&lt;&gt;"",  OR($D$20="Year 2", $J$14 =2)), AND(OR(EN_PF_YearZ!$J$14= 2, EN_PF_YearZ!$D$20="Year 2"), EN_PF_YearZ!L36&lt;&gt;"",  OR($D$20="Year 3", $J$14 =3)))), _xlfn.CONCAT("Validated old score = ",EN_PF_YearZ!L36,"          Preliminary score = ",H36), AND(OR($D$20&lt;&gt;"",$J$14&lt;&gt;""),AND($D$20&lt;&gt;"Year 1",$J$14&lt;&gt;1),L36&lt;&gt;"", OR(AND(OR(EN_PF_Year3!$J$14= 1, EN_PF_Year3!$D$20="Year 1"), EN_PF_Year3!L36&lt;&gt;"",  OR($D$20="Year 2", $J$14 =2)), AND(OR(EN_PF_Year3!$J$14= 2, EN_PF_Year3!$D$20="Year 2"), EN_PF_Year3!L36&lt;&gt;"",  OR($D$20="Year 3", $J$14 =3)))), _xlfn.CONCAT("Validated old score = ",EN_PF_Year3!L36,"               Validated new score = ",L36), AND(OR($D$20&lt;&gt;"",$J$14&lt;&gt;""),AND($D$20&lt;&gt;"Year 1",$J$14&lt;&gt;1),L36="", H36&lt;&gt;"", OR(AND(OR(EN_PF_YearZ!$J$14= 1, EN_PF_YearZ!$D$20="Year 1"), EN_PF_YearZ!L36&lt;&gt;"",  OR($D$20="Year 2", $J$14 =2)), AND(OR(EN_PF_YearZ!$J$14= 2, EN_PF_YearZ!$D$20="Year 2"), EN_PF_YearZ!L36&lt;&gt;"",  OR($D$20="Year 3", $J$14 =3)))), _xlfn.CONCAT("Validated old score = ",EN_PF_YearZ!L36,"               Validated new score = ",L36),AND(L36&lt;&gt;"",$D$14="Yes",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Validated new score = ",L36), AND(OR($D$14="No", $D$14="", EN_PF_QualitativeBaseline!$I$20=""),OR($D$20="Year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6" s="74"/>
      <c r="M36" s="55"/>
      <c r="N36" s="54"/>
      <c r="O36" s="52"/>
    </row>
    <row r="37" spans="1:15" ht="110.1" customHeight="1" x14ac:dyDescent="0.2">
      <c r="A37" s="17"/>
      <c r="B37" s="425"/>
      <c r="C37" s="410"/>
      <c r="D37" s="341" t="s">
        <v>167</v>
      </c>
      <c r="E37" s="341"/>
      <c r="F37" s="341"/>
      <c r="G37" s="80"/>
      <c r="H37" s="73" t="str" cm="1">
        <f t="array" ref="H37">_xlfn.IFS(G37=EN_PF_DROPDOWN!G20,"3",G37=EN_PF_DROPDOWN!G21,"2",G37=EN_PF_DROPDOWN!G22,"1",G37=EN_PF_DROPDOWN!G23,"0",G37="","")</f>
        <v/>
      </c>
      <c r="I37" s="55"/>
      <c r="J37" s="62" t="str" cm="1">
        <f t="array" ref="J37">_xlfn.IFS(G37=EN_PF_DROPDOWN!G20,EN_PF_DROPDOWN!I20,G37=EN_PF_DROPDOWN!G21,EN_PF_DROPDOWN!I21,G37=EN_PF_DROPDOWN!G22,EN_PF_DROPDOWN!I22,G37=EN_PF_DROPDOWN!G23,EN_PF_DROPDOWN!I23,G37="","")</f>
        <v/>
      </c>
      <c r="K37" s="78" t="str" cm="1">
        <f t="array" ref="K37">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OR(AND(H37="", L37=""), AND($D$20="",$J$14=""), AND(L37="", H37&lt;&gt;"",$D$14="Yes",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1",$J$14&lt;&gt;1),H37&lt;&gt;"", OR(AND(OR(EN_PF_Year3!$J$14= 1, EN_PF_Year3!$D$20="Year 1"), EN_PF_Year3!L37="",  OR($D$20="Year 2", $J$14 =2)), AND(OR(EN_PF_Year3!$J$14= 2, EN_PF_Year3!$D$20="Year 2"), EN_PF_Year3!L37="",  OR($D$20="Year 3", $J$14 =3)))), AND(OR($D$20&lt;&gt;"",$J$14&lt;&gt;""),AND($D$20&lt;&gt;"Year 1",$J$14&lt;&gt;1),L37="", H37&lt;&gt;"", OR(AND(OR(EN_PF_YearZ!$J$14= 1, EN_PF_YearZ!$D$20="Year 1"), EN_PF_YearZ!L37="",  OR($D$20="Year 2", $J$14 =2)), AND(OR(EN_PF_YearZ!$J$14= 2, EN_PF_YearZ!$D$20="Year 2"), EN_PF_YearZ!L37="",  OR($D$20="Year 3", $J$14 =3)))))), "", AND(L37="", H37&lt;&gt;"",$D$14="Yes",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Preliminary score = ",H37), AND(OR($D$20&lt;&gt;"",$J$14&lt;&gt;""),AND($D$20&lt;&gt;"Year 1",$J$14&lt;&gt;1),L37="", H37&lt;&gt;"", OR(AND(OR(EN_PF_Year3!$J$14= 1, EN_PF_Year3!$D$20="Year 1"), EN_PF_Year3!L37&lt;&gt;"",  OR($D$20="Year 2", $J$14 =2)), AND(OR(EN_PF_Year3!$J$14= 2, EN_PF_Year3!$D$20="Year 2"), EN_PF_Year3!L37&lt;&gt;"",  OR($D$20="Year 3", $J$14 =3)))), _xlfn.CONCAT("Validated old score = ",EN_PF_Year3!L37,"          Preliminary score = ",H37), AND(OR($D$20&lt;&gt;"",$J$14&lt;&gt;""),AND($D$20&lt;&gt;"Year 1",$J$14&lt;&gt;1),L37="", H37&lt;&gt;"", OR(AND(OR(EN_PF_YearZ!$J$14= 1, EN_PF_YearZ!$D$20="Year 1"), EN_PF_YearZ!L37&lt;&gt;"",  OR($D$20="Year 2", $J$14 =2)), AND(OR(EN_PF_YearZ!$J$14= 2, EN_PF_YearZ!$D$20="Year 2"), EN_PF_YearZ!L37&lt;&gt;"",  OR($D$20="Year 3", $J$14 =3)))), _xlfn.CONCAT("Validated old score = ",EN_PF_YearZ!L37,"          Preliminary score = ",H37), AND(OR($D$20&lt;&gt;"",$J$14&lt;&gt;""),AND($D$20&lt;&gt;"Year 1",$J$14&lt;&gt;1),L37&lt;&gt;"", OR(AND(OR(EN_PF_Year3!$J$14= 1, EN_PF_Year3!$D$20="Year 1"), EN_PF_Year3!L37&lt;&gt;"",  OR($D$20="Year 2", $J$14 =2)), AND(OR(EN_PF_Year3!$J$14= 2, EN_PF_Year3!$D$20="Year 2"), EN_PF_Year3!L37&lt;&gt;"",  OR($D$20="Year 3", $J$14 =3)))), _xlfn.CONCAT("Validated old score = ",EN_PF_Year3!L37,"               Validated new score = ",L37), AND(OR($D$20&lt;&gt;"",$J$14&lt;&gt;""),AND($D$20&lt;&gt;"Year 1",$J$14&lt;&gt;1),L37="", H37&lt;&gt;"", OR(AND(OR(EN_PF_YearZ!$J$14= 1, EN_PF_YearZ!$D$20="Year 1"), EN_PF_YearZ!L37&lt;&gt;"",  OR($D$20="Year 2", $J$14 =2)), AND(OR(EN_PF_YearZ!$J$14= 2, EN_PF_YearZ!$D$20="Year 2"), EN_PF_YearZ!L37&lt;&gt;"",  OR($D$20="Year 3", $J$14 =3)))), _xlfn.CONCAT("Validated old score = ",EN_PF_YearZ!L37,"               Validated new score = ",L37),AND(L37&lt;&gt;"",$D$14="Yes",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Validated new score = ",L37), AND(OR($D$14="No", $D$14="", EN_PF_QualitativeBaseline!$I$20=""),OR($D$20="Year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7" s="74"/>
      <c r="M37" s="55"/>
      <c r="N37" s="54"/>
      <c r="O37" s="52"/>
    </row>
    <row r="38" spans="1:15" ht="110.1" customHeight="1" x14ac:dyDescent="0.2">
      <c r="A38" s="17"/>
      <c r="B38" s="425"/>
      <c r="C38" s="410"/>
      <c r="D38" s="341" t="s">
        <v>168</v>
      </c>
      <c r="E38" s="341"/>
      <c r="F38" s="341"/>
      <c r="G38" s="80"/>
      <c r="H38" s="73" t="str" cm="1">
        <f t="array" ref="H38">_xlfn.IFS(G38=EN_PF_DROPDOWN!G26,"3",G38=EN_PF_DROPDOWN!G27,"2",G38=EN_PF_DROPDOWN!G28,"1",G38=EN_PF_DROPDOWN!G29,"0",G38="","")</f>
        <v/>
      </c>
      <c r="I38" s="55"/>
      <c r="J38" s="62" t="str" cm="1">
        <f t="array" ref="J38">_xlfn.IFS(G38=EN_PF_DROPDOWN!G26,EN_PF_DROPDOWN!I26,G38=EN_PF_DROPDOWN!G27,EN_PF_DROPDOWN!I27,G38=EN_PF_DROPDOWN!G28,EN_PF_DROPDOWN!I28,G38=EN_PF_DROPDOWN!G29,EN_PF_DROPDOWN!I29,G38="","")</f>
        <v/>
      </c>
      <c r="K38" s="78" t="str" cm="1">
        <f t="array" ref="K38">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OR(AND(H38="", L38=""), AND($D$20="",$J$14=""), AND(L38="", H38&lt;&gt;"",$D$14="Yes",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1",$J$14&lt;&gt;1),H38&lt;&gt;"", OR(AND(OR(EN_PF_Year3!$J$14= 1, EN_PF_Year3!$D$20="Year 1"), EN_PF_Year3!L38="",  OR($D$20="Year 2", $J$14 =2)), AND(OR(EN_PF_Year3!$J$14= 2, EN_PF_Year3!$D$20="Year 2"), EN_PF_Year3!L38="",  OR($D$20="Year 3", $J$14 =3)))), AND(OR($D$20&lt;&gt;"",$J$14&lt;&gt;""),AND($D$20&lt;&gt;"Year 1",$J$14&lt;&gt;1),L38="", H38&lt;&gt;"", OR(AND(OR(EN_PF_YearZ!$J$14= 1, EN_PF_YearZ!$D$20="Year 1"), EN_PF_YearZ!L38="",  OR($D$20="Year 2", $J$14 =2)), AND(OR(EN_PF_YearZ!$J$14= 2, EN_PF_YearZ!$D$20="Year 2"), EN_PF_YearZ!L38="",  OR($D$20="Year 3", $J$14 =3)))))), "", AND(L38="", H38&lt;&gt;"",$D$14="Yes",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Preliminary score = ",H38), AND(OR($D$20&lt;&gt;"",$J$14&lt;&gt;""),AND($D$20&lt;&gt;"Year 1",$J$14&lt;&gt;1),L38="", H38&lt;&gt;"", OR(AND(OR(EN_PF_Year3!$J$14= 1, EN_PF_Year3!$D$20="Year 1"), EN_PF_Year3!L38&lt;&gt;"",  OR($D$20="Year 2", $J$14 =2)), AND(OR(EN_PF_Year3!$J$14= 2, EN_PF_Year3!$D$20="Year 2"), EN_PF_Year3!L38&lt;&gt;"",  OR($D$20="Year 3", $J$14 =3)))), _xlfn.CONCAT("Validated old score = ",EN_PF_Year3!L38,"          Preliminary score = ",H38), AND(OR($D$20&lt;&gt;"",$J$14&lt;&gt;""),AND($D$20&lt;&gt;"Year 1",$J$14&lt;&gt;1),L38="", H38&lt;&gt;"", OR(AND(OR(EN_PF_YearZ!$J$14= 1, EN_PF_YearZ!$D$20="Year 1"), EN_PF_YearZ!L38&lt;&gt;"",  OR($D$20="Year 2", $J$14 =2)), AND(OR(EN_PF_YearZ!$J$14= 2, EN_PF_YearZ!$D$20="Year 2"), EN_PF_YearZ!L38&lt;&gt;"",  OR($D$20="Year 3", $J$14 =3)))), _xlfn.CONCAT("Validated old score = ",EN_PF_YearZ!L38,"          Preliminary score = ",H38), AND(OR($D$20&lt;&gt;"",$J$14&lt;&gt;""),AND($D$20&lt;&gt;"Year 1",$J$14&lt;&gt;1),L38&lt;&gt;"", OR(AND(OR(EN_PF_Year3!$J$14= 1, EN_PF_Year3!$D$20="Year 1"), EN_PF_Year3!L38&lt;&gt;"",  OR($D$20="Year 2", $J$14 =2)), AND(OR(EN_PF_Year3!$J$14= 2, EN_PF_Year3!$D$20="Year 2"), EN_PF_Year3!L38&lt;&gt;"",  OR($D$20="Year 3", $J$14 =3)))), _xlfn.CONCAT("Validated old score = ",EN_PF_Year3!L38,"               Validated new score = ",L38), AND(OR($D$20&lt;&gt;"",$J$14&lt;&gt;""),AND($D$20&lt;&gt;"Year 1",$J$14&lt;&gt;1),L38="", H38&lt;&gt;"", OR(AND(OR(EN_PF_YearZ!$J$14= 1, EN_PF_YearZ!$D$20="Year 1"), EN_PF_YearZ!L38&lt;&gt;"",  OR($D$20="Year 2", $J$14 =2)), AND(OR(EN_PF_YearZ!$J$14= 2, EN_PF_YearZ!$D$20="Year 2"), EN_PF_YearZ!L38&lt;&gt;"",  OR($D$20="Year 3", $J$14 =3)))), _xlfn.CONCAT("Validated old score = ",EN_PF_YearZ!L38,"               Validated new score = ",L38),AND(L38&lt;&gt;"",$D$14="Yes",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",EN_PF_QualitativeBaseline!$I$20,"               Validated new score = ",L38), AND(OR($D$14="No", $D$14="", EN_PF_QualitativeBaseline!$I$20=""),OR($D$20="Year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8" s="74"/>
      <c r="M38" s="55"/>
      <c r="N38" s="54"/>
      <c r="O38" s="52"/>
    </row>
    <row r="39" spans="1:15" ht="110.1" customHeight="1" x14ac:dyDescent="0.2">
      <c r="A39" s="17"/>
      <c r="B39" s="425"/>
      <c r="C39" s="341" t="s">
        <v>178</v>
      </c>
      <c r="D39" s="387" t="s">
        <v>329</v>
      </c>
      <c r="E39" s="388"/>
      <c r="F39" s="389"/>
      <c r="G39" s="80"/>
      <c r="H39" s="73" t="str" cm="1">
        <f t="array" ref="H39">_xlfn.IFS(G39=EN_PF_DROPDOWN!G32,"3",G39=EN_PF_DROPDOWN!G33,"2",G39=EN_PF_DROPDOWN!G34,"1",G39=EN_PF_DROPDOWN!G35,"0",G39="","")</f>
        <v/>
      </c>
      <c r="I39" s="55"/>
      <c r="J39" s="62" t="str" cm="1">
        <f t="array" ref="J39">_xlfn.IFS(G39=EN_PF_DROPDOWN!G32,EN_PF_DROPDOWN!I32,G39=EN_PF_DROPDOWN!G33,EN_PF_DROPDOWN!I33,G39=EN_PF_DROPDOWN!G34,EN_PF_DROPDOWN!I34,G39=EN_PF_DROPDOWN!G35,EN_PF_DROPDOWN!I35,G39="","")</f>
        <v/>
      </c>
      <c r="K39" s="78" t="str" cm="1">
        <f t="array" ref="K39">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OR(AND(H39="", L39=""), AND($D$20="",$J$14=""), AND(L39="", H39&lt;&gt;"",$D$14="Yes",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1",$J$14&lt;&gt;1),H39&lt;&gt;"", OR(AND(OR(EN_PF_Year3!$J$14= 1, EN_PF_Year3!$D$20="Year 1"), EN_PF_Year3!L39="",  OR($D$20="Year 2", $J$14 =2)), AND(OR(EN_PF_Year3!$J$14= 2, EN_PF_Year3!$D$20="Year 2"), EN_PF_Year3!L39="",  OR($D$20="Year 3", $J$14 =3)))), AND(OR($D$20&lt;&gt;"",$J$14&lt;&gt;""),AND($D$20&lt;&gt;"Year 1",$J$14&lt;&gt;1),L39="", H39&lt;&gt;"", OR(AND(OR(EN_PF_YearZ!$J$14= 1, EN_PF_YearZ!$D$20="Year 1"), EN_PF_YearZ!L39="",  OR($D$20="Year 2", $J$14 =2)), AND(OR(EN_PF_YearZ!$J$14= 2, EN_PF_YearZ!$D$20="Year 2"), EN_PF_YearZ!L39="",  OR($D$20="Year 3", $J$14 =3)))))), "", AND(L39="", H39&lt;&gt;"",$D$14="Yes",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",EN_PF_QualitativeBaseline!$I$21,"     Preliminary score = ",H39), AND(OR($D$20&lt;&gt;"",$J$14&lt;&gt;""),AND($D$20&lt;&gt;"Year 1",$J$14&lt;&gt;1),L39="", H39&lt;&gt;"", OR(AND(OR(EN_PF_Year3!$J$14= 1, EN_PF_Year3!$D$20="Year 1"), EN_PF_Year3!L39&lt;&gt;"",  OR($D$20="Year 2", $J$14 =2)), AND(OR(EN_PF_Year3!$J$14= 2, EN_PF_Year3!$D$20="Year 2"), EN_PF_Year3!L39&lt;&gt;"",  OR($D$20="Year 3", $J$14 =3)))), _xlfn.CONCAT("Validated old score = ",EN_PF_Year3!L39,"          Preliminary score = ",H39), AND(OR($D$20&lt;&gt;"",$J$14&lt;&gt;""),AND($D$20&lt;&gt;"Year 1",$J$14&lt;&gt;1),L39="", H39&lt;&gt;"", OR(AND(OR(EN_PF_YearZ!$J$14= 1, EN_PF_YearZ!$D$20="Year 1"), EN_PF_YearZ!L39&lt;&gt;"",  OR($D$20="Year 2", $J$14 =2)), AND(OR(EN_PF_YearZ!$J$14= 2, EN_PF_YearZ!$D$20="Year 2"), EN_PF_YearZ!L39&lt;&gt;"",  OR($D$20="Year 3", $J$14 =3)))), _xlfn.CONCAT("Validated old score = ",EN_PF_YearZ!L39,"          Preliminary score = ",H39), AND(OR($D$20&lt;&gt;"",$J$14&lt;&gt;""),AND($D$20&lt;&gt;"Year 1",$J$14&lt;&gt;1),L39&lt;&gt;"", OR(AND(OR(EN_PF_Year3!$J$14= 1, EN_PF_Year3!$D$20="Year 1"), EN_PF_Year3!L39&lt;&gt;"",  OR($D$20="Year 2", $J$14 =2)), AND(OR(EN_PF_Year3!$J$14= 2, EN_PF_Year3!$D$20="Year 2"), EN_PF_Year3!L39&lt;&gt;"",  OR($D$20="Year 3", $J$14 =3)))), _xlfn.CONCAT("Validated old score = ",EN_PF_Year3!L39,"               Validated new score = ",L39), AND(OR($D$20&lt;&gt;"",$J$14&lt;&gt;""),AND($D$20&lt;&gt;"Year 1",$J$14&lt;&gt;1),L39="", H39&lt;&gt;"", OR(AND(OR(EN_PF_YearZ!$J$14= 1, EN_PF_YearZ!$D$20="Year 1"), EN_PF_YearZ!L39&lt;&gt;"",  OR($D$20="Year 2", $J$14 =2)), AND(OR(EN_PF_YearZ!$J$14= 2, EN_PF_YearZ!$D$20="Year 2"), EN_PF_YearZ!L39&lt;&gt;"",  OR($D$20="Year 3", $J$14 =3)))), _xlfn.CONCAT("Validated old score = ",EN_PF_YearZ!L39,"               Validated new score = ",L39),AND(L39&lt;&gt;"",$D$14="Yes",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",EN_PF_QualitativeBaseline!$I$21,"               Validated new score = ",L39), AND(OR($D$14="No", $D$14="", EN_PF_QualitativeBaseline!$I$21=""),OR($D$20="Year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39" s="74"/>
      <c r="M39" s="55"/>
      <c r="N39" s="54"/>
      <c r="O39" s="52"/>
    </row>
    <row r="40" spans="1:15" ht="110.1" customHeight="1" x14ac:dyDescent="0.2">
      <c r="A40" s="17"/>
      <c r="B40" s="425"/>
      <c r="C40" s="410"/>
      <c r="D40" s="341" t="s">
        <v>383</v>
      </c>
      <c r="E40" s="341"/>
      <c r="F40" s="341"/>
      <c r="G40" s="80"/>
      <c r="H40" s="73" t="str" cm="1">
        <f t="array" ref="H40">_xlfn.IFS(G40=EN_PF_DROPDOWN!G38,"3",G40=EN_PF_DROPDOWN!G39,"2",G40=EN_PF_DROPDOWN!G40,"1",G40=EN_PF_DROPDOWN!G41,"0",G40="","")</f>
        <v/>
      </c>
      <c r="I40" s="55"/>
      <c r="J40" s="62" t="str" cm="1">
        <f t="array" ref="J40">_xlfn.IFS(G40=EN_PF_DROPDOWN!G38,EN_PF_DROPDOWN!I38,G40=EN_PF_DROPDOWN!G39,EN_PF_DROPDOWN!I39,G40=EN_PF_DROPDOWN!G40,EN_PF_DROPDOWN!I40,G40=EN_PF_DROPDOWN!G41,EN_PF_DROPDOWN!I41,G40="","")</f>
        <v/>
      </c>
      <c r="K40" s="78" t="str" cm="1">
        <f t="array" ref="K40">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OR(AND(H40="", L40=""), AND($D$20="",$J$14=""), AND(L40="", H40&lt;&gt;"",$D$14="Yes",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1",$J$14&lt;&gt;1),H40&lt;&gt;"", OR(AND(OR(EN_PF_Year3!$J$14= 1, EN_PF_Year3!$D$20="Year 1"), EN_PF_Year3!L40="",  OR($D$20="Year 2", $J$14 =2)), AND(OR(EN_PF_Year3!$J$14= 2, EN_PF_Year3!$D$20="Year 2"), EN_PF_Year3!L40="",  OR($D$20="Year 3", $J$14 =3)))), AND(OR($D$20&lt;&gt;"",$J$14&lt;&gt;""),AND($D$20&lt;&gt;"Year 1",$J$14&lt;&gt;1),L40="", H40&lt;&gt;"", OR(AND(OR(EN_PF_YearZ!$J$14= 1, EN_PF_YearZ!$D$20="Year 1"), EN_PF_YearZ!L40="",  OR($D$20="Year 2", $J$14 =2)), AND(OR(EN_PF_YearZ!$J$14= 2, EN_PF_YearZ!$D$20="Year 2"), EN_PF_YearZ!L40="",  OR($D$20="Year 3", $J$14 =3)))))), "", AND(L40="", H40&lt;&gt;"",$D$14="Yes",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",EN_PF_QualitativeBaseline!$I$21,"     Preliminary score = ",H40), AND(OR($D$20&lt;&gt;"",$J$14&lt;&gt;""),AND($D$20&lt;&gt;"Year 1",$J$14&lt;&gt;1),L40="", H40&lt;&gt;"", OR(AND(OR(EN_PF_Year3!$J$14= 1, EN_PF_Year3!$D$20="Year 1"), EN_PF_Year3!L40&lt;&gt;"",  OR($D$20="Year 2", $J$14 =2)), AND(OR(EN_PF_Year3!$J$14= 2, EN_PF_Year3!$D$20="Year 2"), EN_PF_Year3!L40&lt;&gt;"",  OR($D$20="Year 3", $J$14 =3)))), _xlfn.CONCAT("Validated old score = ",EN_PF_Year3!L40,"          Preliminary score = ",H40), AND(OR($D$20&lt;&gt;"",$J$14&lt;&gt;""),AND($D$20&lt;&gt;"Year 1",$J$14&lt;&gt;1),L40="", H40&lt;&gt;"", OR(AND(OR(EN_PF_YearZ!$J$14= 1, EN_PF_YearZ!$D$20="Year 1"), EN_PF_YearZ!L40&lt;&gt;"",  OR($D$20="Year 2", $J$14 =2)), AND(OR(EN_PF_YearZ!$J$14= 2, EN_PF_YearZ!$D$20="Year 2"), EN_PF_YearZ!L40&lt;&gt;"",  OR($D$20="Year 3", $J$14 =3)))), _xlfn.CONCAT("Validated old score = ",EN_PF_YearZ!L40,"          Preliminary score = ",H40), AND(OR($D$20&lt;&gt;"",$J$14&lt;&gt;""),AND($D$20&lt;&gt;"Year 1",$J$14&lt;&gt;1),L40&lt;&gt;"", OR(AND(OR(EN_PF_Year3!$J$14= 1, EN_PF_Year3!$D$20="Year 1"), EN_PF_Year3!L40&lt;&gt;"",  OR($D$20="Year 2", $J$14 =2)), AND(OR(EN_PF_Year3!$J$14= 2, EN_PF_Year3!$D$20="Year 2"), EN_PF_Year3!L40&lt;&gt;"",  OR($D$20="Year 3", $J$14 =3)))), _xlfn.CONCAT("Validated old score = ",EN_PF_Year3!L40,"               Validated new score = ",L40), AND(OR($D$20&lt;&gt;"",$J$14&lt;&gt;""),AND($D$20&lt;&gt;"Year 1",$J$14&lt;&gt;1),L40="", H40&lt;&gt;"", OR(AND(OR(EN_PF_YearZ!$J$14= 1, EN_PF_YearZ!$D$20="Year 1"), EN_PF_YearZ!L40&lt;&gt;"",  OR($D$20="Year 2", $J$14 =2)), AND(OR(EN_PF_YearZ!$J$14= 2, EN_PF_YearZ!$D$20="Year 2"), EN_PF_YearZ!L40&lt;&gt;"",  OR($D$20="Year 3", $J$14 =3)))), _xlfn.CONCAT("Validated old score = ",EN_PF_YearZ!L40,"               Validated new score = ",L40),AND(L40&lt;&gt;"",$D$14="Yes",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",EN_PF_QualitativeBaseline!$I$21,"               Validated new score = ",L40), AND(OR($D$14="No", $D$14="", EN_PF_QualitativeBaseline!$I$21=""),OR($D$20="Year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0" s="74"/>
      <c r="M40" s="55"/>
      <c r="N40" s="54"/>
      <c r="O40" s="52"/>
    </row>
    <row r="41" spans="1:15" ht="110.1" customHeight="1" x14ac:dyDescent="0.2">
      <c r="A41" s="17"/>
      <c r="B41" s="425"/>
      <c r="C41" s="47" t="s">
        <v>157</v>
      </c>
      <c r="D41" s="341" t="s">
        <v>553</v>
      </c>
      <c r="E41" s="341"/>
      <c r="F41" s="341"/>
      <c r="G41" s="80"/>
      <c r="H41" s="73" t="str" cm="1">
        <f t="array" ref="H41">_xlfn.IFS(G41=EN_PF_DROPDOWN!G44,"3",G41=EN_PF_DROPDOWN!G45,"2",G41=EN_PF_DROPDOWN!G46,"1",G41=EN_PF_DROPDOWN!G47,"0",G41="","")</f>
        <v/>
      </c>
      <c r="I41" s="55"/>
      <c r="J41" s="62" t="str" cm="1">
        <f t="array" ref="J41">_xlfn.IFS(G41=EN_PF_DROPDOWN!G44,EN_PF_DROPDOWN!I44,G41=EN_PF_DROPDOWN!G45,EN_PF_DROPDOWN!I45,G41=EN_PF_DROPDOWN!G46,EN_PF_DROPDOWN!I46,G41=EN_PF_DROPDOWN!G47,EN_PF_DROPDOWN!I47,G41="","")</f>
        <v/>
      </c>
      <c r="K41" s="78" t="str" cm="1">
        <f t="array" ref="K41">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OR(AND(H41="", L41=""), AND($D$20="",$J$14=""), AND(L41="", H41&lt;&gt;"",$D$14="Yes",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1",$J$14&lt;&gt;1),H41&lt;&gt;"", OR(AND(OR(EN_PF_Year3!$J$14= 1, EN_PF_Year3!$D$20="Year 1"), EN_PF_Year3!L41="",  OR($D$20="Year 2", $J$14 =2)), AND(OR(EN_PF_Year3!$J$14= 2, EN_PF_Year3!$D$20="Year 2"), EN_PF_Year3!L41="",  OR($D$20="Year 3", $J$14 =3)))), AND(OR($D$20&lt;&gt;"",$J$14&lt;&gt;""),AND($D$20&lt;&gt;"Year 1",$J$14&lt;&gt;1),L41="", H41&lt;&gt;"", OR(AND(OR(EN_PF_YearZ!$J$14= 1, EN_PF_YearZ!$D$20="Year 1"), EN_PF_YearZ!L41="",  OR($D$20="Year 2", $J$14 =2)), AND(OR(EN_PF_YearZ!$J$14= 2, EN_PF_YearZ!$D$20="Year 2"), EN_PF_YearZ!L41="",  OR($D$20="Year 3", $J$14 =3)))))), "", AND(L41="", H41&lt;&gt;"",$D$14="Yes",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",EN_PF_QualitativeBaseline!$I$22,"     Preliminary score = ",H41), AND(OR($D$20&lt;&gt;"",$J$14&lt;&gt;""),AND($D$20&lt;&gt;"Year 1",$J$14&lt;&gt;1),L41="", H41&lt;&gt;"", OR(AND(OR(EN_PF_Year3!$J$14= 1, EN_PF_Year3!$D$20="Year 1"), EN_PF_Year3!L41&lt;&gt;"",  OR($D$20="Year 2", $J$14 =2)), AND(OR(EN_PF_Year3!$J$14= 2, EN_PF_Year3!$D$20="Year 2"), EN_PF_Year3!L41&lt;&gt;"",  OR($D$20="Year 3", $J$14 =3)))), _xlfn.CONCAT("Validated old score = ",EN_PF_Year3!L41,"          Preliminary score = ",H41), AND(OR($D$20&lt;&gt;"",$J$14&lt;&gt;""),AND($D$20&lt;&gt;"Year 1",$J$14&lt;&gt;1),L41="", H41&lt;&gt;"", OR(AND(OR(EN_PF_YearZ!$J$14= 1, EN_PF_YearZ!$D$20="Year 1"), EN_PF_YearZ!L41&lt;&gt;"",  OR($D$20="Year 2", $J$14 =2)), AND(OR(EN_PF_YearZ!$J$14= 2, EN_PF_YearZ!$D$20="Year 2"), EN_PF_YearZ!L41&lt;&gt;"",  OR($D$20="Year 3", $J$14 =3)))), _xlfn.CONCAT("Validated old score = ",EN_PF_YearZ!L41,"          Preliminary score = ",H41), AND(OR($D$20&lt;&gt;"",$J$14&lt;&gt;""),AND($D$20&lt;&gt;"Year 1",$J$14&lt;&gt;1),L41&lt;&gt;"", OR(AND(OR(EN_PF_Year3!$J$14= 1, EN_PF_Year3!$D$20="Year 1"), EN_PF_Year3!L41&lt;&gt;"",  OR($D$20="Year 2", $J$14 =2)), AND(OR(EN_PF_Year3!$J$14= 2, EN_PF_Year3!$D$20="Year 2"), EN_PF_Year3!L41&lt;&gt;"",  OR($D$20="Year 3", $J$14 =3)))), _xlfn.CONCAT("Validated old score = ",EN_PF_Year3!L41,"               Validated new score = ",L41), AND(OR($D$20&lt;&gt;"",$J$14&lt;&gt;""),AND($D$20&lt;&gt;"Year 1",$J$14&lt;&gt;1),L41="", H41&lt;&gt;"", OR(AND(OR(EN_PF_YearZ!$J$14= 1, EN_PF_YearZ!$D$20="Year 1"), EN_PF_YearZ!L41&lt;&gt;"",  OR($D$20="Year 2", $J$14 =2)), AND(OR(EN_PF_YearZ!$J$14= 2, EN_PF_YearZ!$D$20="Year 2"), EN_PF_YearZ!L41&lt;&gt;"",  OR($D$20="Year 3", $J$14 =3)))), _xlfn.CONCAT("Validated old score = ",EN_PF_YearZ!L41,"               Validated new score = ",L41),AND(L41&lt;&gt;"",$D$14="Yes",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",EN_PF_QualitativeBaseline!$I$22,"               Validated new score = ",L41), AND(OR($D$14="No", $D$14="", EN_PF_QualitativeBaseline!$I$22=""),OR($D$20="Year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1" s="74"/>
      <c r="M41" s="55"/>
      <c r="N41" s="54"/>
      <c r="O41" s="52"/>
    </row>
    <row r="42" spans="1:15" ht="110.1" customHeight="1" x14ac:dyDescent="0.2">
      <c r="A42" s="17"/>
      <c r="B42" s="425"/>
      <c r="C42" s="47" t="s">
        <v>179</v>
      </c>
      <c r="D42" s="341" t="s">
        <v>441</v>
      </c>
      <c r="E42" s="341"/>
      <c r="F42" s="341"/>
      <c r="G42" s="80"/>
      <c r="H42" s="73" t="str" cm="1">
        <f t="array" ref="H42">_xlfn.IFS(G42=EN_PF_DROPDOWN!G50,"3",G42=EN_PF_DROPDOWN!G51,"2",G42=EN_PF_DROPDOWN!G52,"1",G42=EN_PF_DROPDOWN!G53,"0",G42="","")</f>
        <v/>
      </c>
      <c r="I42" s="55"/>
      <c r="J42" s="62" t="str" cm="1">
        <f t="array" ref="J42">_xlfn.IFS(G42=EN_PF_DROPDOWN!G50,EN_PF_DROPDOWN!I50,G42=EN_PF_DROPDOWN!G51,EN_PF_DROPDOWN!I51,G42=EN_PF_DROPDOWN!G52,EN_PF_DROPDOWN!I52,G42=EN_PF_DROPDOWN!G53,EN_PF_DROPDOWN!I53,G42="","")</f>
        <v/>
      </c>
      <c r="K42" s="78" t="str" cm="1">
        <f t="array" ref="K42">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OR(AND(H42="", L42=""), AND($D$20="",$J$14=""), AND(L42="", H42&lt;&gt;"",$D$14="Yes",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1",$J$14&lt;&gt;1),H42&lt;&gt;"", OR(AND(OR(EN_PF_Year3!$J$14= 1, EN_PF_Year3!$D$20="Year 1"), EN_PF_Year3!L42="",  OR($D$20="Year 2", $J$14 =2)), AND(OR(EN_PF_Year3!$J$14= 2, EN_PF_Year3!$D$20="Year 2"), EN_PF_Year3!L42="",  OR($D$20="Year 3", $J$14 =3)))), AND(OR($D$20&lt;&gt;"",$J$14&lt;&gt;""),AND($D$20&lt;&gt;"Year 1",$J$14&lt;&gt;1),L42="", H42&lt;&gt;"", OR(AND(OR(EN_PF_YearZ!$J$14= 1, EN_PF_YearZ!$D$20="Year 1"), EN_PF_YearZ!L42="",  OR($D$20="Year 2", $J$14 =2)), AND(OR(EN_PF_YearZ!$J$14= 2, EN_PF_YearZ!$D$20="Year 2"), EN_PF_YearZ!L42="",  OR($D$20="Year 3", $J$14 =3)))))), "", AND(L42="", H42&lt;&gt;"",$D$14="Yes",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",EN_PF_QualitativeBaseline!$I$23,"     Preliminary score = ",H42), AND(OR($D$20&lt;&gt;"",$J$14&lt;&gt;""),AND($D$20&lt;&gt;"Year 1",$J$14&lt;&gt;1),L42="", H42&lt;&gt;"", OR(AND(OR(EN_PF_Year3!$J$14= 1, EN_PF_Year3!$D$20="Year 1"), EN_PF_Year3!L42&lt;&gt;"",  OR($D$20="Year 2", $J$14 =2)), AND(OR(EN_PF_Year3!$J$14= 2, EN_PF_Year3!$D$20="Year 2"), EN_PF_Year3!L42&lt;&gt;"",  OR($D$20="Year 3", $J$14 =3)))), _xlfn.CONCAT("Validated old score = ",EN_PF_Year3!L42,"          Preliminary score = ",H42), AND(OR($D$20&lt;&gt;"",$J$14&lt;&gt;""),AND($D$20&lt;&gt;"Year 1",$J$14&lt;&gt;1),L42="", H42&lt;&gt;"", OR(AND(OR(EN_PF_YearZ!$J$14= 1, EN_PF_YearZ!$D$20="Year 1"), EN_PF_YearZ!L42&lt;&gt;"",  OR($D$20="Year 2", $J$14 =2)), AND(OR(EN_PF_YearZ!$J$14= 2, EN_PF_YearZ!$D$20="Year 2"), EN_PF_YearZ!L42&lt;&gt;"",  OR($D$20="Year 3", $J$14 =3)))), _xlfn.CONCAT("Validated old score = ",EN_PF_YearZ!L42,"          Preliminary score = ",H42), AND(OR($D$20&lt;&gt;"",$J$14&lt;&gt;""),AND($D$20&lt;&gt;"Year 1",$J$14&lt;&gt;1),L42&lt;&gt;"", OR(AND(OR(EN_PF_Year3!$J$14= 1, EN_PF_Year3!$D$20="Year 1"), EN_PF_Year3!L42&lt;&gt;"",  OR($D$20="Year 2", $J$14 =2)), AND(OR(EN_PF_Year3!$J$14= 2, EN_PF_Year3!$D$20="Year 2"), EN_PF_Year3!L42&lt;&gt;"",  OR($D$20="Year 3", $J$14 =3)))), _xlfn.CONCAT("Validated old score = ",EN_PF_Year3!L42,"               Validated new score = ",L42), AND(OR($D$20&lt;&gt;"",$J$14&lt;&gt;""),AND($D$20&lt;&gt;"Year 1",$J$14&lt;&gt;1),L42="", H42&lt;&gt;"", OR(AND(OR(EN_PF_YearZ!$J$14= 1, EN_PF_YearZ!$D$20="Year 1"), EN_PF_YearZ!L42&lt;&gt;"",  OR($D$20="Year 2", $J$14 =2)), AND(OR(EN_PF_YearZ!$J$14= 2, EN_PF_YearZ!$D$20="Year 2"), EN_PF_YearZ!L42&lt;&gt;"",  OR($D$20="Year 3", $J$14 =3)))), _xlfn.CONCAT("Validated old score = ",EN_PF_YearZ!L42,"               Validated new score = ",L42),AND(L42&lt;&gt;"",$D$14="Yes",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",EN_PF_QualitativeBaseline!$I$23,"               Validated new score = ",L42), AND(OR($D$14="No", $D$14="", EN_PF_QualitativeBaseline!$I$23=""),OR($D$20="Year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2" s="74"/>
      <c r="M42" s="55"/>
      <c r="N42" s="54"/>
      <c r="O42" s="52"/>
    </row>
    <row r="43" spans="1:15" ht="110.1" customHeight="1" x14ac:dyDescent="0.2">
      <c r="A43" s="43"/>
      <c r="B43" s="428" t="s">
        <v>114</v>
      </c>
      <c r="C43" s="341" t="s">
        <v>182</v>
      </c>
      <c r="D43" s="341" t="s">
        <v>169</v>
      </c>
      <c r="E43" s="341"/>
      <c r="F43" s="341"/>
      <c r="G43" s="80"/>
      <c r="H43" s="73" t="str" cm="1">
        <f t="array" ref="H43">_xlfn.IFS(G43=EN_PF_DROPDOWN!K3,"2",G43=EN_PF_DROPDOWN!K4,"1",G43=EN_PF_DROPDOWN!K5,"0",G43="","")</f>
        <v/>
      </c>
      <c r="I43" s="55"/>
      <c r="J43" s="62" t="str" cm="1">
        <f t="array" ref="J43">_xlfn.IFS(G43=EN_PF_DROPDOWN!K3,EN_PF_DROPDOWN!M3,G43=EN_PF_DROPDOWN!K4,EN_PF_DROPDOWN!M4,G43=EN_PF_DROPDOWN!K5,EN_PF_DROPDOWN!M5,G43="","")</f>
        <v/>
      </c>
      <c r="K43" s="78" t="str" cm="1">
        <f t="array" ref="K43">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OR(AND(H43="", L43=""), AND($D$20="",$J$14=""), AND(L43="", H43&lt;&gt;"",$D$14="Yes",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1",$J$14&lt;&gt;1),H43&lt;&gt;"", OR(AND(OR(EN_PF_Year3!$J$14= 1, EN_PF_Year3!$D$20="Year 1"), EN_PF_Year3!L43="",  OR($D$20="Year 2", $J$14 =2)), AND(OR(EN_PF_Year3!$J$14= 2, EN_PF_Year3!$D$20="Year 2"), EN_PF_Year3!L43="",  OR($D$20="Year 3", $J$14 =3)))), AND(OR($D$20&lt;&gt;"",$J$14&lt;&gt;""),AND($D$20&lt;&gt;"Year 1",$J$14&lt;&gt;1),L43="", H43&lt;&gt;"", OR(AND(OR(EN_PF_YearZ!$J$14= 1, EN_PF_YearZ!$D$20="Year 1"), EN_PF_YearZ!L43="",  OR($D$20="Year 2", $J$14 =2)), AND(OR(EN_PF_YearZ!$J$14= 2, EN_PF_YearZ!$D$20="Year 2"), EN_PF_YearZ!L43="",  OR($D$20="Year 3", $J$14 =3)))))), "", AND(L43="", H43&lt;&gt;"",$D$14="Yes",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",EN_PF_QualitativeBaseline!$I$24,"     Preliminary score = ",H43), AND(OR($D$20&lt;&gt;"",$J$14&lt;&gt;""),AND($D$20&lt;&gt;"Year 1",$J$14&lt;&gt;1),L43="", H43&lt;&gt;"", OR(AND(OR(EN_PF_Year3!$J$14= 1, EN_PF_Year3!$D$20="Year 1"), EN_PF_Year3!L43&lt;&gt;"",  OR($D$20="Year 2", $J$14 =2)), AND(OR(EN_PF_Year3!$J$14= 2, EN_PF_Year3!$D$20="Year 2"), EN_PF_Year3!L43&lt;&gt;"",  OR($D$20="Year 3", $J$14 =3)))), _xlfn.CONCAT("Validated old score = ",EN_PF_Year3!L43,"          Preliminary score = ",H43), AND(OR($D$20&lt;&gt;"",$J$14&lt;&gt;""),AND($D$20&lt;&gt;"Year 1",$J$14&lt;&gt;1),L43="", H43&lt;&gt;"", OR(AND(OR(EN_PF_YearZ!$J$14= 1, EN_PF_YearZ!$D$20="Year 1"), EN_PF_YearZ!L43&lt;&gt;"",  OR($D$20="Year 2", $J$14 =2)), AND(OR(EN_PF_YearZ!$J$14= 2, EN_PF_YearZ!$D$20="Year 2"), EN_PF_YearZ!L43&lt;&gt;"",  OR($D$20="Year 3", $J$14 =3)))), _xlfn.CONCAT("Validated old score = ",EN_PF_YearZ!L43,"          Preliminary score = ",H43), AND(OR($D$20&lt;&gt;"",$J$14&lt;&gt;""),AND($D$20&lt;&gt;"Year 1",$J$14&lt;&gt;1),L43&lt;&gt;"", OR(AND(OR(EN_PF_Year3!$J$14= 1, EN_PF_Year3!$D$20="Year 1"), EN_PF_Year3!L43&lt;&gt;"",  OR($D$20="Year 2", $J$14 =2)), AND(OR(EN_PF_Year3!$J$14= 2, EN_PF_Year3!$D$20="Year 2"), EN_PF_Year3!L43&lt;&gt;"",  OR($D$20="Year 3", $J$14 =3)))), _xlfn.CONCAT("Validated old score = ",EN_PF_Year3!L43,"               Validated new score = ",L43), AND(OR($D$20&lt;&gt;"",$J$14&lt;&gt;""),AND($D$20&lt;&gt;"Year 1",$J$14&lt;&gt;1),L43="", H43&lt;&gt;"", OR(AND(OR(EN_PF_YearZ!$J$14= 1, EN_PF_YearZ!$D$20="Year 1"), EN_PF_YearZ!L43&lt;&gt;"",  OR($D$20="Year 2", $J$14 =2)), AND(OR(EN_PF_YearZ!$J$14= 2, EN_PF_YearZ!$D$20="Year 2"), EN_PF_YearZ!L43&lt;&gt;"",  OR($D$20="Year 3", $J$14 =3)))), _xlfn.CONCAT("Validated old score = ",EN_PF_YearZ!L43,"               Validated new score = ",L43),AND(L43&lt;&gt;"",$D$14="Yes",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",EN_PF_QualitativeBaseline!$I$24,"               Validated new score = ",L43), AND(OR($D$14="No", $D$14="", EN_PF_QualitativeBaseline!$I$24=""),OR($D$20="Year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3" s="74"/>
      <c r="M43" s="55"/>
      <c r="N43" s="54"/>
      <c r="O43" s="52"/>
    </row>
    <row r="44" spans="1:15" ht="110.1" customHeight="1" x14ac:dyDescent="0.2">
      <c r="A44" s="43"/>
      <c r="B44" s="429"/>
      <c r="C44" s="410"/>
      <c r="D44" s="341" t="s">
        <v>170</v>
      </c>
      <c r="E44" s="341"/>
      <c r="F44" s="341"/>
      <c r="G44" s="80"/>
      <c r="H44" s="73" t="str" cm="1">
        <f t="array" ref="H44">_xlfn.IFS(G44=EN_PF_DROPDOWN!K8,"3",G44=EN_PF_DROPDOWN!K9,"2",G44=EN_PF_DROPDOWN!K10,"1",G44=EN_PF_DROPDOWN!K11,"0",G44="","")</f>
        <v/>
      </c>
      <c r="I44" s="55"/>
      <c r="J44" s="62" t="str" cm="1">
        <f t="array" ref="J44">_xlfn.IFS(G44=EN_PF_DROPDOWN!K8,EN_PF_DROPDOWN!M8,G44=EN_PF_DROPDOWN!K9,EN_PF_DROPDOWN!M9,G44=EN_PF_DROPDOWN!K10,EN_PF_DROPDOWN!M10,G44=EN_PF_DROPDOWN!K11,EN_PF_DROPDOWN!M11,G44="","")</f>
        <v/>
      </c>
      <c r="K44" s="78" t="str" cm="1">
        <f t="array" ref="K44">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OR(AND(H44="", L44=""), AND($D$20="",$J$14=""), AND(L44="", H44&lt;&gt;"",$D$14="Yes",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1",$J$14&lt;&gt;1),H44&lt;&gt;"", OR(AND(OR(EN_PF_Year3!$J$14= 1, EN_PF_Year3!$D$20="Year 1"), EN_PF_Year3!L44="",  OR($D$20="Year 2", $J$14 =2)), AND(OR(EN_PF_Year3!$J$14= 2, EN_PF_Year3!$D$20="Year 2"), EN_PF_Year3!L44="",  OR($D$20="Year 3", $J$14 =3)))), AND(OR($D$20&lt;&gt;"",$J$14&lt;&gt;""),AND($D$20&lt;&gt;"Year 1",$J$14&lt;&gt;1),L44="", H44&lt;&gt;"", OR(AND(OR(EN_PF_YearZ!$J$14= 1, EN_PF_YearZ!$D$20="Year 1"), EN_PF_YearZ!L44="",  OR($D$20="Year 2", $J$14 =2)), AND(OR(EN_PF_YearZ!$J$14= 2, EN_PF_YearZ!$D$20="Year 2"), EN_PF_YearZ!L44="",  OR($D$20="Year 3", $J$14 =3)))))), "", AND(L44="", H44&lt;&gt;"",$D$14="Yes",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",EN_PF_QualitativeBaseline!$I$24,"     Preliminary score = ",H44), AND(OR($D$20&lt;&gt;"",$J$14&lt;&gt;""),AND($D$20&lt;&gt;"Year 1",$J$14&lt;&gt;1),L44="", H44&lt;&gt;"", OR(AND(OR(EN_PF_Year3!$J$14= 1, EN_PF_Year3!$D$20="Year 1"), EN_PF_Year3!L44&lt;&gt;"",  OR($D$20="Year 2", $J$14 =2)), AND(OR(EN_PF_Year3!$J$14= 2, EN_PF_Year3!$D$20="Year 2"), EN_PF_Year3!L44&lt;&gt;"",  OR($D$20="Year 3", $J$14 =3)))), _xlfn.CONCAT("Validated old score = ",EN_PF_Year3!L44,"          Preliminary score = ",H44), AND(OR($D$20&lt;&gt;"",$J$14&lt;&gt;""),AND($D$20&lt;&gt;"Year 1",$J$14&lt;&gt;1),L44="", H44&lt;&gt;"", OR(AND(OR(EN_PF_YearZ!$J$14= 1, EN_PF_YearZ!$D$20="Year 1"), EN_PF_YearZ!L44&lt;&gt;"",  OR($D$20="Year 2", $J$14 =2)), AND(OR(EN_PF_YearZ!$J$14= 2, EN_PF_YearZ!$D$20="Year 2"), EN_PF_YearZ!L44&lt;&gt;"",  OR($D$20="Year 3", $J$14 =3)))), _xlfn.CONCAT("Validated old score = ",EN_PF_YearZ!L44,"          Preliminary score = ",H44), AND(OR($D$20&lt;&gt;"",$J$14&lt;&gt;""),AND($D$20&lt;&gt;"Year 1",$J$14&lt;&gt;1),L44&lt;&gt;"", OR(AND(OR(EN_PF_Year3!$J$14= 1, EN_PF_Year3!$D$20="Year 1"), EN_PF_Year3!L44&lt;&gt;"",  OR($D$20="Year 2", $J$14 =2)), AND(OR(EN_PF_Year3!$J$14= 2, EN_PF_Year3!$D$20="Year 2"), EN_PF_Year3!L44&lt;&gt;"",  OR($D$20="Year 3", $J$14 =3)))), _xlfn.CONCAT("Validated old score = ",EN_PF_Year3!L44,"               Validated new score = ",L44), AND(OR($D$20&lt;&gt;"",$J$14&lt;&gt;""),AND($D$20&lt;&gt;"Year 1",$J$14&lt;&gt;1),L44="", H44&lt;&gt;"", OR(AND(OR(EN_PF_YearZ!$J$14= 1, EN_PF_YearZ!$D$20="Year 1"), EN_PF_YearZ!L44&lt;&gt;"",  OR($D$20="Year 2", $J$14 =2)), AND(OR(EN_PF_YearZ!$J$14= 2, EN_PF_YearZ!$D$20="Year 2"), EN_PF_YearZ!L44&lt;&gt;"",  OR($D$20="Year 3", $J$14 =3)))), _xlfn.CONCAT("Validated old score = ",EN_PF_YearZ!L44,"               Validated new score = ",L44),AND(L44&lt;&gt;"",$D$14="Yes",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",EN_PF_QualitativeBaseline!$I$24,"               Validated new score = ",L44), AND(OR($D$14="No", $D$14="", EN_PF_QualitativeBaseline!$I$24=""),OR($D$20="Year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4" s="74"/>
      <c r="M44" s="55"/>
      <c r="N44" s="54"/>
      <c r="O44" s="52"/>
    </row>
    <row r="45" spans="1:15" ht="110.1" customHeight="1" x14ac:dyDescent="0.2">
      <c r="A45" s="43"/>
      <c r="B45" s="429"/>
      <c r="C45" s="47" t="s">
        <v>183</v>
      </c>
      <c r="D45" s="341" t="s">
        <v>217</v>
      </c>
      <c r="E45" s="341"/>
      <c r="F45" s="341"/>
      <c r="G45" s="80"/>
      <c r="H45" s="73" t="str" cm="1">
        <f t="array" ref="H45">_xlfn.IFS(G45=EN_PF_DROPDOWN!K14,"3",G45=EN_PF_DROPDOWN!K15,"2",G45=EN_PF_DROPDOWN!K16,"1",G45=EN_PF_DROPDOWN!K17,"0",G45="","")</f>
        <v/>
      </c>
      <c r="I45" s="55"/>
      <c r="J45" s="62" t="str" cm="1">
        <f t="array" ref="J45">_xlfn.IFS(G45=EN_PF_DROPDOWN!K14,EN_PF_DROPDOWN!M14,G45=EN_PF_DROPDOWN!K15,EN_PF_DROPDOWN!M15,G45=EN_PF_DROPDOWN!K16,EN_PF_DROPDOWN!M16,G45=EN_PF_DROPDOWN!K17,EN_PF_DROPDOWN!M17,G45="","")</f>
        <v/>
      </c>
      <c r="K45" s="78" t="str" cm="1">
        <f t="array" ref="K45">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OR(AND(H45="", L45=""), AND($D$20="",$J$14=""), AND(L45="", H45&lt;&gt;"",$D$14="Yes",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1",$J$14&lt;&gt;1),H45&lt;&gt;"", OR(AND(OR(EN_PF_Year3!$J$14= 1, EN_PF_Year3!$D$20="Year 1"), EN_PF_Year3!L45="",  OR($D$20="Year 2", $J$14 =2)), AND(OR(EN_PF_Year3!$J$14= 2, EN_PF_Year3!$D$20="Year 2"), EN_PF_Year3!L45="",  OR($D$20="Year 3", $J$14 =3)))), AND(OR($D$20&lt;&gt;"",$J$14&lt;&gt;""),AND($D$20&lt;&gt;"Year 1",$J$14&lt;&gt;1),L45="", H45&lt;&gt;"", OR(AND(OR(EN_PF_YearZ!$J$14= 1, EN_PF_YearZ!$D$20="Year 1"), EN_PF_YearZ!L45="",  OR($D$20="Year 2", $J$14 =2)), AND(OR(EN_PF_YearZ!$J$14= 2, EN_PF_YearZ!$D$20="Year 2"), EN_PF_YearZ!L45="",  OR($D$20="Year 3", $J$14 =3)))))), "", AND(L45="", H45&lt;&gt;"",$D$14="Yes",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",EN_PF_QualitativeBaseline!$I$25,"     Preliminary score = ",H45), AND(OR($D$20&lt;&gt;"",$J$14&lt;&gt;""),AND($D$20&lt;&gt;"Year 1",$J$14&lt;&gt;1),L45="", H45&lt;&gt;"", OR(AND(OR(EN_PF_Year3!$J$14= 1, EN_PF_Year3!$D$20="Year 1"), EN_PF_Year3!L45&lt;&gt;"",  OR($D$20="Year 2", $J$14 =2)), AND(OR(EN_PF_Year3!$J$14= 2, EN_PF_Year3!$D$20="Year 2"), EN_PF_Year3!L45&lt;&gt;"",  OR($D$20="Year 3", $J$14 =3)))), _xlfn.CONCAT("Validated old score = ",EN_PF_Year3!L45,"          Preliminary score = ",H45), AND(OR($D$20&lt;&gt;"",$J$14&lt;&gt;""),AND($D$20&lt;&gt;"Year 1",$J$14&lt;&gt;1),L45="", H45&lt;&gt;"", OR(AND(OR(EN_PF_YearZ!$J$14= 1, EN_PF_YearZ!$D$20="Year 1"), EN_PF_YearZ!L45&lt;&gt;"",  OR($D$20="Year 2", $J$14 =2)), AND(OR(EN_PF_YearZ!$J$14= 2, EN_PF_YearZ!$D$20="Year 2"), EN_PF_YearZ!L45&lt;&gt;"",  OR($D$20="Year 3", $J$14 =3)))), _xlfn.CONCAT("Validated old score = ",EN_PF_YearZ!L45,"          Preliminary score = ",H45), AND(OR($D$20&lt;&gt;"",$J$14&lt;&gt;""),AND($D$20&lt;&gt;"Year 1",$J$14&lt;&gt;1),L45&lt;&gt;"", OR(AND(OR(EN_PF_Year3!$J$14= 1, EN_PF_Year3!$D$20="Year 1"), EN_PF_Year3!L45&lt;&gt;"",  OR($D$20="Year 2", $J$14 =2)), AND(OR(EN_PF_Year3!$J$14= 2, EN_PF_Year3!$D$20="Year 2"), EN_PF_Year3!L45&lt;&gt;"",  OR($D$20="Year 3", $J$14 =3)))), _xlfn.CONCAT("Validated old score = ",EN_PF_Year3!L45,"               Validated new score = ",L45), AND(OR($D$20&lt;&gt;"",$J$14&lt;&gt;""),AND($D$20&lt;&gt;"Year 1",$J$14&lt;&gt;1),L45="", H45&lt;&gt;"", OR(AND(OR(EN_PF_YearZ!$J$14= 1, EN_PF_YearZ!$D$20="Year 1"), EN_PF_YearZ!L45&lt;&gt;"",  OR($D$20="Year 2", $J$14 =2)), AND(OR(EN_PF_YearZ!$J$14= 2, EN_PF_YearZ!$D$20="Year 2"), EN_PF_YearZ!L45&lt;&gt;"",  OR($D$20="Year 3", $J$14 =3)))), _xlfn.CONCAT("Validated old score = ",EN_PF_YearZ!L45,"               Validated new score = ",L45),AND(L45&lt;&gt;"",$D$14="Yes",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",EN_PF_QualitativeBaseline!$I$25,"               Validated new score = ",L45), AND(OR($D$14="No", $D$14="", EN_PF_QualitativeBaseline!$I$25=""),OR($D$20="Year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5" s="74"/>
      <c r="M45" s="55"/>
      <c r="N45" s="54"/>
      <c r="O45" s="52"/>
    </row>
    <row r="46" spans="1:15" ht="110.1" customHeight="1" x14ac:dyDescent="0.2">
      <c r="A46" s="43"/>
      <c r="B46" s="429"/>
      <c r="C46" s="47" t="s">
        <v>184</v>
      </c>
      <c r="D46" s="341" t="s">
        <v>390</v>
      </c>
      <c r="E46" s="341"/>
      <c r="F46" s="341"/>
      <c r="G46" s="80"/>
      <c r="H46" s="73" t="str" cm="1">
        <f t="array" ref="H46">_xlfn.IFS(G46=EN_PF_DROPDOWN!K20,"3",G46=EN_PF_DROPDOWN!K21,"2",G46=EN_PF_DROPDOWN!K22,"1",G46=EN_PF_DROPDOWN!K23,"0",G46="","")</f>
        <v/>
      </c>
      <c r="I46" s="55"/>
      <c r="J46" s="62" t="str" cm="1">
        <f t="array" ref="J46">_xlfn.IFS(G46=EN_PF_DROPDOWN!K20,EN_PF_DROPDOWN!M20,G46=EN_PF_DROPDOWN!K21,EN_PF_DROPDOWN!M21,G46=EN_PF_DROPDOWN!K22,EN_PF_DROPDOWN!M22,G46=EN_PF_DROPDOWN!K23,EN_PF_DROPDOWN!M23,G46="","")</f>
        <v/>
      </c>
      <c r="K46" s="78" t="str" cm="1">
        <f t="array" ref="K46">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OR(AND(H46="", L46=""), AND($D$20="",$J$14=""), AND(L46="", H46&lt;&gt;"",$D$14="Yes",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1",$J$14&lt;&gt;1),H46&lt;&gt;"", OR(AND(OR(EN_PF_Year3!$J$14= 1, EN_PF_Year3!$D$20="Year 1"), EN_PF_Year3!L46="",  OR($D$20="Year 2", $J$14 =2)), AND(OR(EN_PF_Year3!$J$14= 2, EN_PF_Year3!$D$20="Year 2"), EN_PF_Year3!L46="",  OR($D$20="Year 3", $J$14 =3)))), AND(OR($D$20&lt;&gt;"",$J$14&lt;&gt;""),AND($D$20&lt;&gt;"Year 1",$J$14&lt;&gt;1),L46="", H46&lt;&gt;"", OR(AND(OR(EN_PF_YearZ!$J$14= 1, EN_PF_YearZ!$D$20="Year 1"), EN_PF_YearZ!L46="",  OR($D$20="Year 2", $J$14 =2)), AND(OR(EN_PF_YearZ!$J$14= 2, EN_PF_YearZ!$D$20="Year 2"), EN_PF_YearZ!L46="",  OR($D$20="Year 3", $J$14 =3)))))), "", AND(L46="", H46&lt;&gt;"",$D$14="Yes",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",EN_PF_QualitativeBaseline!$I$26,"     Preliminary score = ",H46), AND(OR($D$20&lt;&gt;"",$J$14&lt;&gt;""),AND($D$20&lt;&gt;"Year 1",$J$14&lt;&gt;1),L46="", H46&lt;&gt;"", OR(AND(OR(EN_PF_Year3!$J$14= 1, EN_PF_Year3!$D$20="Year 1"), EN_PF_Year3!L46&lt;&gt;"",  OR($D$20="Year 2", $J$14 =2)), AND(OR(EN_PF_Year3!$J$14= 2, EN_PF_Year3!$D$20="Year 2"), EN_PF_Year3!L46&lt;&gt;"",  OR($D$20="Year 3", $J$14 =3)))), _xlfn.CONCAT("Validated old score = ",EN_PF_Year3!L46,"          Preliminary score = ",H46), AND(OR($D$20&lt;&gt;"",$J$14&lt;&gt;""),AND($D$20&lt;&gt;"Year 1",$J$14&lt;&gt;1),L46="", H46&lt;&gt;"", OR(AND(OR(EN_PF_YearZ!$J$14= 1, EN_PF_YearZ!$D$20="Year 1"), EN_PF_YearZ!L46&lt;&gt;"",  OR($D$20="Year 2", $J$14 =2)), AND(OR(EN_PF_YearZ!$J$14= 2, EN_PF_YearZ!$D$20="Year 2"), EN_PF_YearZ!L46&lt;&gt;"",  OR($D$20="Year 3", $J$14 =3)))), _xlfn.CONCAT("Validated old score = ",EN_PF_YearZ!L46,"          Preliminary score = ",H46), AND(OR($D$20&lt;&gt;"",$J$14&lt;&gt;""),AND($D$20&lt;&gt;"Year 1",$J$14&lt;&gt;1),L46&lt;&gt;"", OR(AND(OR(EN_PF_Year3!$J$14= 1, EN_PF_Year3!$D$20="Year 1"), EN_PF_Year3!L46&lt;&gt;"",  OR($D$20="Year 2", $J$14 =2)), AND(OR(EN_PF_Year3!$J$14= 2, EN_PF_Year3!$D$20="Year 2"), EN_PF_Year3!L46&lt;&gt;"",  OR($D$20="Year 3", $J$14 =3)))), _xlfn.CONCAT("Validated old score = ",EN_PF_Year3!L46,"               Validated new score = ",L46), AND(OR($D$20&lt;&gt;"",$J$14&lt;&gt;""),AND($D$20&lt;&gt;"Year 1",$J$14&lt;&gt;1),L46="", H46&lt;&gt;"", OR(AND(OR(EN_PF_YearZ!$J$14= 1, EN_PF_YearZ!$D$20="Year 1"), EN_PF_YearZ!L46&lt;&gt;"",  OR($D$20="Year 2", $J$14 =2)), AND(OR(EN_PF_YearZ!$J$14= 2, EN_PF_YearZ!$D$20="Year 2"), EN_PF_YearZ!L46&lt;&gt;"",  OR($D$20="Year 3", $J$14 =3)))), _xlfn.CONCAT("Validated old score = ",EN_PF_YearZ!L46,"               Validated new score = ",L46),AND(L46&lt;&gt;"",$D$14="Yes",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",EN_PF_QualitativeBaseline!$I$26,"               Validated new score = ",L46), AND(OR($D$14="No", $D$14="", EN_PF_QualitativeBaseline!$I$26=""),OR($D$20="Year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6" s="74"/>
      <c r="M46" s="55"/>
      <c r="N46" s="54"/>
      <c r="O46" s="52"/>
    </row>
    <row r="47" spans="1:15" ht="110.1" customHeight="1" x14ac:dyDescent="0.2">
      <c r="A47" s="43"/>
      <c r="B47" s="429"/>
      <c r="C47" s="47" t="s">
        <v>185</v>
      </c>
      <c r="D47" s="341" t="s">
        <v>171</v>
      </c>
      <c r="E47" s="341"/>
      <c r="F47" s="341"/>
      <c r="G47" s="80"/>
      <c r="H47" s="73" t="str" cm="1">
        <f t="array" ref="H47">_xlfn.IFS(G47=EN_PF_DROPDOWN!K26,"3",G47=EN_PF_DROPDOWN!K27,"2",G47=EN_PF_DROPDOWN!K28,"1",G47=EN_PF_DROPDOWN!K29,"0",G47="","")</f>
        <v/>
      </c>
      <c r="I47" s="55"/>
      <c r="J47" s="62" t="str" cm="1">
        <f t="array" ref="J47">_xlfn.IFS(G47=EN_PF_DROPDOWN!K26,EN_PF_DROPDOWN!M26,G47=EN_PF_DROPDOWN!K27,EN_PF_DROPDOWN!M27,G47=EN_PF_DROPDOWN!K28,EN_PF_DROPDOWN!M28,G47=EN_PF_DROPDOWN!K29,EN_PF_DROPDOWN!M29,G47="","")</f>
        <v/>
      </c>
      <c r="K47" s="78" t="str" cm="1">
        <f t="array" ref="K47">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OR(AND(H47="", L47=""), AND($D$20="",$J$14=""), AND(L47="", H47&lt;&gt;"",$D$14="Yes",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1",$J$14&lt;&gt;1),H47&lt;&gt;"", OR(AND(OR(EN_PF_Year3!$J$14= 1, EN_PF_Year3!$D$20="Year 1"), EN_PF_Year3!L47="",  OR($D$20="Year 2", $J$14 =2)), AND(OR(EN_PF_Year3!$J$14= 2, EN_PF_Year3!$D$20="Year 2"), EN_PF_Year3!L47="",  OR($D$20="Year 3", $J$14 =3)))), AND(OR($D$20&lt;&gt;"",$J$14&lt;&gt;""),AND($D$20&lt;&gt;"Year 1",$J$14&lt;&gt;1),L47="", H47&lt;&gt;"", OR(AND(OR(EN_PF_YearZ!$J$14= 1, EN_PF_YearZ!$D$20="Year 1"), EN_PF_YearZ!L47="",  OR($D$20="Year 2", $J$14 =2)), AND(OR(EN_PF_YearZ!$J$14= 2, EN_PF_YearZ!$D$20="Year 2"), EN_PF_YearZ!L47="",  OR($D$20="Year 3", $J$14 =3)))))), "", AND(L47="", H47&lt;&gt;"",$D$14="Yes",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",EN_PF_QualitativeBaseline!$I$27,"     Preliminary score = ",H47), AND(OR($D$20&lt;&gt;"",$J$14&lt;&gt;""),AND($D$20&lt;&gt;"Year 1",$J$14&lt;&gt;1),L47="", H47&lt;&gt;"", OR(AND(OR(EN_PF_Year3!$J$14= 1, EN_PF_Year3!$D$20="Year 1"), EN_PF_Year3!L47&lt;&gt;"",  OR($D$20="Year 2", $J$14 =2)), AND(OR(EN_PF_Year3!$J$14= 2, EN_PF_Year3!$D$20="Year 2"), EN_PF_Year3!L47&lt;&gt;"",  OR($D$20="Year 3", $J$14 =3)))), _xlfn.CONCAT("Validated old score = ",EN_PF_Year3!L47,"          Preliminary score = ",H47), AND(OR($D$20&lt;&gt;"",$J$14&lt;&gt;""),AND($D$20&lt;&gt;"Year 1",$J$14&lt;&gt;1),L47="", H47&lt;&gt;"", OR(AND(OR(EN_PF_YearZ!$J$14= 1, EN_PF_YearZ!$D$20="Year 1"), EN_PF_YearZ!L47&lt;&gt;"",  OR($D$20="Year 2", $J$14 =2)), AND(OR(EN_PF_YearZ!$J$14= 2, EN_PF_YearZ!$D$20="Year 2"), EN_PF_YearZ!L47&lt;&gt;"",  OR($D$20="Year 3", $J$14 =3)))), _xlfn.CONCAT("Validated old score = ",EN_PF_YearZ!L47,"          Preliminary score = ",H47), AND(OR($D$20&lt;&gt;"",$J$14&lt;&gt;""),AND($D$20&lt;&gt;"Year 1",$J$14&lt;&gt;1),L47&lt;&gt;"", OR(AND(OR(EN_PF_Year3!$J$14= 1, EN_PF_Year3!$D$20="Year 1"), EN_PF_Year3!L47&lt;&gt;"",  OR($D$20="Year 2", $J$14 =2)), AND(OR(EN_PF_Year3!$J$14= 2, EN_PF_Year3!$D$20="Year 2"), EN_PF_Year3!L47&lt;&gt;"",  OR($D$20="Year 3", $J$14 =3)))), _xlfn.CONCAT("Validated old score = ",EN_PF_Year3!L47,"               Validated new score = ",L47), AND(OR($D$20&lt;&gt;"",$J$14&lt;&gt;""),AND($D$20&lt;&gt;"Year 1",$J$14&lt;&gt;1),L47="", H47&lt;&gt;"", OR(AND(OR(EN_PF_YearZ!$J$14= 1, EN_PF_YearZ!$D$20="Year 1"), EN_PF_YearZ!L47&lt;&gt;"",  OR($D$20="Year 2", $J$14 =2)), AND(OR(EN_PF_YearZ!$J$14= 2, EN_PF_YearZ!$D$20="Year 2"), EN_PF_YearZ!L47&lt;&gt;"",  OR($D$20="Year 3", $J$14 =3)))), _xlfn.CONCAT("Validated old score = ",EN_PF_YearZ!L47,"               Validated new score = ",L47),AND(L47&lt;&gt;"",$D$14="Yes",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",EN_PF_QualitativeBaseline!$I$27,"               Validated new score = ",L47), AND(OR($D$14="No", $D$14="", EN_PF_QualitativeBaseline!$I$27=""),OR($D$20="Year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7" s="74"/>
      <c r="M47" s="55"/>
      <c r="N47" s="54"/>
      <c r="O47" s="52"/>
    </row>
    <row r="48" spans="1:15" ht="110.1" customHeight="1" x14ac:dyDescent="0.2">
      <c r="A48" s="17"/>
      <c r="B48" s="430" t="s">
        <v>118</v>
      </c>
      <c r="C48" s="341" t="s">
        <v>186</v>
      </c>
      <c r="D48" s="341" t="s">
        <v>611</v>
      </c>
      <c r="E48" s="341"/>
      <c r="F48" s="341"/>
      <c r="G48" s="80"/>
      <c r="H48" s="73" t="str" cm="1">
        <f t="array" ref="H48">_xlfn.IFS(G48=EN_PF_DROPDOWN!O3,"3",G48=EN_PF_DROPDOWN!O4,"2",G48=EN_PF_DROPDOWN!O5,"1",G48=EN_PF_DROPDOWN!O6,"0",G48="","")</f>
        <v/>
      </c>
      <c r="I48" s="55"/>
      <c r="J48" s="62" t="str" cm="1">
        <f t="array" ref="J48">_xlfn.IFS(G48=EN_PF_DROPDOWN!O3,EN_PF_DROPDOWN!Q3,G48=EN_PF_DROPDOWN!O4,EN_PF_DROPDOWN!Q4,G48=EN_PF_DROPDOWN!O5,EN_PF_DROPDOWN!Q5,G48=EN_PF_DROPDOWN!O6,EN_PF_DROPDOWN!Q6,G48="","")</f>
        <v/>
      </c>
      <c r="K48" s="78" t="str" cm="1">
        <f t="array" ref="K48">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OR(AND(H48="", L48=""), AND($D$20="",$J$14=""), AND(L48="", H48&lt;&gt;"",$D$14="Yes",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1",$J$14&lt;&gt;1),H48&lt;&gt;"", OR(AND(OR(EN_PF_Year3!$J$14= 1, EN_PF_Year3!$D$20="Year 1"), EN_PF_Year3!L48="",  OR($D$20="Year 2", $J$14 =2)), AND(OR(EN_PF_Year3!$J$14= 2, EN_PF_Year3!$D$20="Year 2"), EN_PF_Year3!L48="",  OR($D$20="Year 3", $J$14 =3)))), AND(OR($D$20&lt;&gt;"",$J$14&lt;&gt;""),AND($D$20&lt;&gt;"Year 1",$J$14&lt;&gt;1),L48="", H48&lt;&gt;"", OR(AND(OR(EN_PF_YearZ!$J$14= 1, EN_PF_YearZ!$D$20="Year 1"), EN_PF_YearZ!L48="",  OR($D$20="Year 2", $J$14 =2)), AND(OR(EN_PF_YearZ!$J$14= 2, EN_PF_YearZ!$D$20="Year 2"), EN_PF_YearZ!L48="",  OR($D$20="Year 3", $J$14 =3)))))), "", AND(L48="", H48&lt;&gt;"",$D$14="Yes",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",EN_PF_QualitativeBaseline!$I$28,"     Preliminary score = ",H48), AND(OR($D$20&lt;&gt;"",$J$14&lt;&gt;""),AND($D$20&lt;&gt;"Year 1",$J$14&lt;&gt;1),L48="", H48&lt;&gt;"", OR(AND(OR(EN_PF_Year3!$J$14= 1, EN_PF_Year3!$D$20="Year 1"), EN_PF_Year3!L48&lt;&gt;"",  OR($D$20="Year 2", $J$14 =2)), AND(OR(EN_PF_Year3!$J$14= 2, EN_PF_Year3!$D$20="Year 2"), EN_PF_Year3!L48&lt;&gt;"",  OR($D$20="Year 3", $J$14 =3)))), _xlfn.CONCAT("Validated old score = ",EN_PF_Year3!L48,"          Preliminary score = ",H48), AND(OR($D$20&lt;&gt;"",$J$14&lt;&gt;""),AND($D$20&lt;&gt;"Year 1",$J$14&lt;&gt;1),L48="", H48&lt;&gt;"", OR(AND(OR(EN_PF_YearZ!$J$14= 1, EN_PF_YearZ!$D$20="Year 1"), EN_PF_YearZ!L48&lt;&gt;"",  OR($D$20="Year 2", $J$14 =2)), AND(OR(EN_PF_YearZ!$J$14= 2, EN_PF_YearZ!$D$20="Year 2"), EN_PF_YearZ!L48&lt;&gt;"",  OR($D$20="Year 3", $J$14 =3)))), _xlfn.CONCAT("Validated old score = ",EN_PF_YearZ!L48,"          Preliminary score = ",H48), AND(OR($D$20&lt;&gt;"",$J$14&lt;&gt;""),AND($D$20&lt;&gt;"Year 1",$J$14&lt;&gt;1),L48&lt;&gt;"", OR(AND(OR(EN_PF_Year3!$J$14= 1, EN_PF_Year3!$D$20="Year 1"), EN_PF_Year3!L48&lt;&gt;"",  OR($D$20="Year 2", $J$14 =2)), AND(OR(EN_PF_Year3!$J$14= 2, EN_PF_Year3!$D$20="Year 2"), EN_PF_Year3!L48&lt;&gt;"",  OR($D$20="Year 3", $J$14 =3)))), _xlfn.CONCAT("Validated old score = ",EN_PF_Year3!L48,"               Validated new score = ",L48), AND(OR($D$20&lt;&gt;"",$J$14&lt;&gt;""),AND($D$20&lt;&gt;"Year 1",$J$14&lt;&gt;1),L48="", H48&lt;&gt;"", OR(AND(OR(EN_PF_YearZ!$J$14= 1, EN_PF_YearZ!$D$20="Year 1"), EN_PF_YearZ!L48&lt;&gt;"",  OR($D$20="Year 2", $J$14 =2)), AND(OR(EN_PF_YearZ!$J$14= 2, EN_PF_YearZ!$D$20="Year 2"), EN_PF_YearZ!L48&lt;&gt;"",  OR($D$20="Year 3", $J$14 =3)))), _xlfn.CONCAT("Validated old score = ",EN_PF_YearZ!L48,"               Validated new score = ",L48),AND(L48&lt;&gt;"",$D$14="Yes",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",EN_PF_QualitativeBaseline!$I$28,"               Validated new score = ",L48), AND(OR($D$14="No", $D$14="", EN_PF_QualitativeBaseline!$I$28=""),OR($D$20="Year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8" s="74"/>
      <c r="M48" s="55"/>
      <c r="N48" s="54"/>
      <c r="O48" s="52"/>
    </row>
    <row r="49" spans="1:15" ht="110.1" customHeight="1" x14ac:dyDescent="0.2">
      <c r="A49" s="17"/>
      <c r="B49" s="430"/>
      <c r="C49" s="410"/>
      <c r="D49" s="341" t="s">
        <v>654</v>
      </c>
      <c r="E49" s="341"/>
      <c r="F49" s="341"/>
      <c r="G49" s="80"/>
      <c r="H49" s="73" t="str" cm="1">
        <f t="array" ref="H49">_xlfn.IFS(G49=EN_PF_DROPDOWN!O9,"3",G49=EN_PF_DROPDOWN!O10,"2",G49=EN_PF_DROPDOWN!O11,"1",G49=EN_PF_DROPDOWN!O12,"0",G49="","")</f>
        <v/>
      </c>
      <c r="I49" s="55"/>
      <c r="J49" s="62" t="str" cm="1">
        <f t="array" ref="J49">_xlfn.IFS(G49=EN_PF_DROPDOWN!O9,EN_PF_DROPDOWN!Q9,G49=EN_PF_DROPDOWN!O10,EN_PF_DROPDOWN!Q10,G49=EN_PF_DROPDOWN!O11,EN_PF_DROPDOWN!Q11,G49=EN_PF_DROPDOWN!O12,EN_PF_DROPDOWN!Q12,G49="","")</f>
        <v/>
      </c>
      <c r="K49" s="78" t="str" cm="1">
        <f t="array" ref="K49">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OR(AND(H49="", L49=""), AND($D$20="",$J$14=""), AND(L49="", H49&lt;&gt;"",$D$14="Yes",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1",$J$14&lt;&gt;1),H49&lt;&gt;"", OR(AND(OR(EN_PF_Year3!$J$14= 1, EN_PF_Year3!$D$20="Year 1"), EN_PF_Year3!L49="",  OR($D$20="Year 2", $J$14 =2)), AND(OR(EN_PF_Year3!$J$14= 2, EN_PF_Year3!$D$20="Year 2"), EN_PF_Year3!L49="",  OR($D$20="Year 3", $J$14 =3)))), AND(OR($D$20&lt;&gt;"",$J$14&lt;&gt;""),AND($D$20&lt;&gt;"Year 1",$J$14&lt;&gt;1),L49="", H49&lt;&gt;"", OR(AND(OR(EN_PF_YearZ!$J$14= 1, EN_PF_YearZ!$D$20="Year 1"), EN_PF_YearZ!L49="",  OR($D$20="Year 2", $J$14 =2)), AND(OR(EN_PF_YearZ!$J$14= 2, EN_PF_YearZ!$D$20="Year 2"), EN_PF_YearZ!L49="",  OR($D$20="Year 3", $J$14 =3)))))), "", AND(L49="", H49&lt;&gt;"",$D$14="Yes",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",EN_PF_QualitativeBaseline!$I$28,"     Preliminary score = ",H49), AND(OR($D$20&lt;&gt;"",$J$14&lt;&gt;""),AND($D$20&lt;&gt;"Year 1",$J$14&lt;&gt;1),L49="", H49&lt;&gt;"", OR(AND(OR(EN_PF_Year3!$J$14= 1, EN_PF_Year3!$D$20="Year 1"), EN_PF_Year3!L49&lt;&gt;"",  OR($D$20="Year 2", $J$14 =2)), AND(OR(EN_PF_Year3!$J$14= 2, EN_PF_Year3!$D$20="Year 2"), EN_PF_Year3!L49&lt;&gt;"",  OR($D$20="Year 3", $J$14 =3)))), _xlfn.CONCAT("Validated old score = ",EN_PF_Year3!L49,"          Preliminary score = ",H49), AND(OR($D$20&lt;&gt;"",$J$14&lt;&gt;""),AND($D$20&lt;&gt;"Year 1",$J$14&lt;&gt;1),L49="", H49&lt;&gt;"", OR(AND(OR(EN_PF_YearZ!$J$14= 1, EN_PF_YearZ!$D$20="Year 1"), EN_PF_YearZ!L49&lt;&gt;"",  OR($D$20="Year 2", $J$14 =2)), AND(OR(EN_PF_YearZ!$J$14= 2, EN_PF_YearZ!$D$20="Year 2"), EN_PF_YearZ!L49&lt;&gt;"",  OR($D$20="Year 3", $J$14 =3)))), _xlfn.CONCAT("Validated old score = ",EN_PF_YearZ!L49,"          Preliminary score = ",H49), AND(OR($D$20&lt;&gt;"",$J$14&lt;&gt;""),AND($D$20&lt;&gt;"Year 1",$J$14&lt;&gt;1),L49&lt;&gt;"", OR(AND(OR(EN_PF_Year3!$J$14= 1, EN_PF_Year3!$D$20="Year 1"), EN_PF_Year3!L49&lt;&gt;"",  OR($D$20="Year 2", $J$14 =2)), AND(OR(EN_PF_Year3!$J$14= 2, EN_PF_Year3!$D$20="Year 2"), EN_PF_Year3!L49&lt;&gt;"",  OR($D$20="Year 3", $J$14 =3)))), _xlfn.CONCAT("Validated old score = ",EN_PF_Year3!L49,"               Validated new score = ",L49), AND(OR($D$20&lt;&gt;"",$J$14&lt;&gt;""),AND($D$20&lt;&gt;"Year 1",$J$14&lt;&gt;1),L49="", H49&lt;&gt;"", OR(AND(OR(EN_PF_YearZ!$J$14= 1, EN_PF_YearZ!$D$20="Year 1"), EN_PF_YearZ!L49&lt;&gt;"",  OR($D$20="Year 2", $J$14 =2)), AND(OR(EN_PF_YearZ!$J$14= 2, EN_PF_YearZ!$D$20="Year 2"), EN_PF_YearZ!L49&lt;&gt;"",  OR($D$20="Year 3", $J$14 =3)))), _xlfn.CONCAT("Validated old score = ",EN_PF_YearZ!L49,"               Validated new score = ",L49),AND(L49&lt;&gt;"",$D$14="Yes",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",EN_PF_QualitativeBaseline!$I$28,"               Validated new score = ",L49), AND(OR($D$14="No", $D$14="", EN_PF_QualitativeBaseline!$I$28=""),OR($D$20="Year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49" s="74"/>
      <c r="M49" s="55"/>
      <c r="N49" s="54"/>
      <c r="O49" s="52"/>
    </row>
    <row r="50" spans="1:15" ht="110.1" customHeight="1" x14ac:dyDescent="0.2">
      <c r="A50" s="17"/>
      <c r="B50" s="430"/>
      <c r="C50" s="410"/>
      <c r="D50" s="341" t="s">
        <v>575</v>
      </c>
      <c r="E50" s="341"/>
      <c r="F50" s="341"/>
      <c r="G50" s="80"/>
      <c r="H50" s="73" t="str" cm="1">
        <f t="array" ref="H50">_xlfn.IFS(G50=EN_PF_DROPDOWN!O15,"3",G50=EN_PF_DROPDOWN!O16,"1",G50=EN_PF_DROPDOWN!O17,"0",G50="","")</f>
        <v/>
      </c>
      <c r="I50" s="55"/>
      <c r="J50" s="62" t="str" cm="1">
        <f t="array" ref="J50">_xlfn.IFS(G50=EN_PF_DROPDOWN!O15,EN_PF_DROPDOWN!Q15,G50=EN_PF_DROPDOWN!O16,EN_PF_DROPDOWN!Q16,G50=EN_PF_DROPDOWN!O17,EN_PF_DROPDOWN!Q17,G50="","")</f>
        <v/>
      </c>
      <c r="K50" s="78" t="str" cm="1">
        <f t="array" ref="K50">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OR(AND(H50="", L50=""), AND($D$20="",$J$14=""), AND(L50="", H50&lt;&gt;"",$D$14="Yes",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1",$J$14&lt;&gt;1),H50&lt;&gt;"", OR(AND(OR(EN_PF_Year3!$J$14= 1, EN_PF_Year3!$D$20="Year 1"), EN_PF_Year3!L50="",  OR($D$20="Year 2", $J$14 =2)), AND(OR(EN_PF_Year3!$J$14= 2, EN_PF_Year3!$D$20="Year 2"), EN_PF_Year3!L50="",  OR($D$20="Year 3", $J$14 =3)))), AND(OR($D$20&lt;&gt;"",$J$14&lt;&gt;""),AND($D$20&lt;&gt;"Year 1",$J$14&lt;&gt;1),L50="", H50&lt;&gt;"", OR(AND(OR(EN_PF_YearZ!$J$14= 1, EN_PF_YearZ!$D$20="Year 1"), EN_PF_YearZ!L50="",  OR($D$20="Year 2", $J$14 =2)), AND(OR(EN_PF_YearZ!$J$14= 2, EN_PF_YearZ!$D$20="Year 2"), EN_PF_YearZ!L50="",  OR($D$20="Year 3", $J$14 =3)))))), "", AND(L50="", H50&lt;&gt;"",$D$14="Yes",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",EN_PF_QualitativeBaseline!$I$28,"     Preliminary score = ",H50), AND(OR($D$20&lt;&gt;"",$J$14&lt;&gt;""),AND($D$20&lt;&gt;"Year 1",$J$14&lt;&gt;1),L50="", H50&lt;&gt;"", OR(AND(OR(EN_PF_Year3!$J$14= 1, EN_PF_Year3!$D$20="Year 1"), EN_PF_Year3!L50&lt;&gt;"",  OR($D$20="Year 2", $J$14 =2)), AND(OR(EN_PF_Year3!$J$14= 2, EN_PF_Year3!$D$20="Year 2"), EN_PF_Year3!L50&lt;&gt;"",  OR($D$20="Year 3", $J$14 =3)))), _xlfn.CONCAT("Validated old score = ",EN_PF_Year3!L50,"          Preliminary score = ",H50), AND(OR($D$20&lt;&gt;"",$J$14&lt;&gt;""),AND($D$20&lt;&gt;"Year 1",$J$14&lt;&gt;1),L50="", H50&lt;&gt;"", OR(AND(OR(EN_PF_YearZ!$J$14= 1, EN_PF_YearZ!$D$20="Year 1"), EN_PF_YearZ!L50&lt;&gt;"",  OR($D$20="Year 2", $J$14 =2)), AND(OR(EN_PF_YearZ!$J$14= 2, EN_PF_YearZ!$D$20="Year 2"), EN_PF_YearZ!L50&lt;&gt;"",  OR($D$20="Year 3", $J$14 =3)))), _xlfn.CONCAT("Validated old score = ",EN_PF_YearZ!L50,"          Preliminary score = ",H50), AND(OR($D$20&lt;&gt;"",$J$14&lt;&gt;""),AND($D$20&lt;&gt;"Year 1",$J$14&lt;&gt;1),L50&lt;&gt;"", OR(AND(OR(EN_PF_Year3!$J$14= 1, EN_PF_Year3!$D$20="Year 1"), EN_PF_Year3!L50&lt;&gt;"",  OR($D$20="Year 2", $J$14 =2)), AND(OR(EN_PF_Year3!$J$14= 2, EN_PF_Year3!$D$20="Year 2"), EN_PF_Year3!L50&lt;&gt;"",  OR($D$20="Year 3", $J$14 =3)))), _xlfn.CONCAT("Validated old score = ",EN_PF_Year3!L50,"               Validated new score = ",L50), AND(OR($D$20&lt;&gt;"",$J$14&lt;&gt;""),AND($D$20&lt;&gt;"Year 1",$J$14&lt;&gt;1),L50="", H50&lt;&gt;"", OR(AND(OR(EN_PF_YearZ!$J$14= 1, EN_PF_YearZ!$D$20="Year 1"), EN_PF_YearZ!L50&lt;&gt;"",  OR($D$20="Year 2", $J$14 =2)), AND(OR(EN_PF_YearZ!$J$14= 2, EN_PF_YearZ!$D$20="Year 2"), EN_PF_YearZ!L50&lt;&gt;"",  OR($D$20="Year 3", $J$14 =3)))), _xlfn.CONCAT("Validated old score = ",EN_PF_YearZ!L50,"               Validated new score = ",L50),AND(L50&lt;&gt;"",$D$14="Yes",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",EN_PF_QualitativeBaseline!$I$28,"               Validated new score = ",L50), AND(OR($D$14="No", $D$14="", EN_PF_QualitativeBaseline!$I$28=""),OR($D$20="Year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50" s="74"/>
      <c r="M50" s="55"/>
      <c r="N50" s="54"/>
      <c r="O50" s="52"/>
    </row>
    <row r="51" spans="1:15" ht="110.1" customHeight="1" x14ac:dyDescent="0.2">
      <c r="A51" s="17"/>
      <c r="B51" s="430"/>
      <c r="C51" s="407" t="s">
        <v>681</v>
      </c>
      <c r="D51" s="341" t="s">
        <v>658</v>
      </c>
      <c r="E51" s="341"/>
      <c r="F51" s="341"/>
      <c r="G51" s="80"/>
      <c r="H51" s="73" t="str" cm="1">
        <f t="array" ref="H51">_xlfn.IFS(G51=EN_PF_DROPDOWN!O20,"3",G51=EN_PF_DROPDOWN!O21,"2",G51=EN_PF_DROPDOWN!O22,"1",G51=EN_PF_DROPDOWN!O23,"0",G51="","")</f>
        <v/>
      </c>
      <c r="I51" s="55"/>
      <c r="J51" s="62" t="str" cm="1">
        <f t="array" ref="J51">_xlfn.IFS(G51=EN_PF_DROPDOWN!O20,EN_PF_DROPDOWN!Q20,G51=EN_PF_DROPDOWN!O21,EN_PF_DROPDOWN!Q21,G51=EN_PF_DROPDOWN!O22,EN_PF_DROPDOWN!Q22,G51=EN_PF_DROPDOWN!O23,EN_PF_DROPDOWN!Q23,G51="","")</f>
        <v/>
      </c>
      <c r="K51" s="78" t="str" cm="1">
        <f t="array" ref="K51">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OR(AND(H51="", L51=""), AND($D$20="",$J$14=""), AND(L51="", H51&lt;&gt;"",$D$14="Yes",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1",$J$14&lt;&gt;1),H51&lt;&gt;"", OR(AND(OR(EN_PF_Year3!$J$14= 1, EN_PF_Year3!$D$20="Year 1"), EN_PF_Year3!L51="",  OR($D$20="Year 2", $J$14 =2)), AND(OR(EN_PF_Year3!$J$14= 2, EN_PF_Year3!$D$20="Year 2"), EN_PF_Year3!L51="",  OR($D$20="Year 3", $J$14 =3)))), AND(OR($D$20&lt;&gt;"",$J$14&lt;&gt;""),AND($D$20&lt;&gt;"Year 1",$J$14&lt;&gt;1),L51="", H51&lt;&gt;"", OR(AND(OR(EN_PF_YearZ!$J$14= 1, EN_PF_YearZ!$D$20="Year 1"), EN_PF_YearZ!L51="",  OR($D$20="Year 2", $J$14 =2)), AND(OR(EN_PF_YearZ!$J$14= 2, EN_PF_YearZ!$D$20="Year 2"), EN_PF_YearZ!L51="",  OR($D$20="Year 3", $J$14 =3)))))), "", AND(L51="", H51&lt;&gt;"",$D$14="Yes",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",EN_PF_QualitativeBaseline!$I$29,"     Preliminary score = ",H51), AND(OR($D$20&lt;&gt;"",$J$14&lt;&gt;""),AND($D$20&lt;&gt;"Year 1",$J$14&lt;&gt;1),L51="", H51&lt;&gt;"", OR(AND(OR(EN_PF_Year3!$J$14= 1, EN_PF_Year3!$D$20="Year 1"), EN_PF_Year3!L51&lt;&gt;"",  OR($D$20="Year 2", $J$14 =2)), AND(OR(EN_PF_Year3!$J$14= 2, EN_PF_Year3!$D$20="Year 2"), EN_PF_Year3!L51&lt;&gt;"",  OR($D$20="Year 3", $J$14 =3)))), _xlfn.CONCAT("Validated old score = ",EN_PF_Year3!L51,"          Preliminary score = ",H51), AND(OR($D$20&lt;&gt;"",$J$14&lt;&gt;""),AND($D$20&lt;&gt;"Year 1",$J$14&lt;&gt;1),L51="", H51&lt;&gt;"", OR(AND(OR(EN_PF_YearZ!$J$14= 1, EN_PF_YearZ!$D$20="Year 1"), EN_PF_YearZ!L51&lt;&gt;"",  OR($D$20="Year 2", $J$14 =2)), AND(OR(EN_PF_YearZ!$J$14= 2, EN_PF_YearZ!$D$20="Year 2"), EN_PF_YearZ!L51&lt;&gt;"",  OR($D$20="Year 3", $J$14 =3)))), _xlfn.CONCAT("Validated old score = ",EN_PF_YearZ!L51,"          Preliminary score = ",H51), AND(OR($D$20&lt;&gt;"",$J$14&lt;&gt;""),AND($D$20&lt;&gt;"Year 1",$J$14&lt;&gt;1),L51&lt;&gt;"", OR(AND(OR(EN_PF_Year3!$J$14= 1, EN_PF_Year3!$D$20="Year 1"), EN_PF_Year3!L51&lt;&gt;"",  OR($D$20="Year 2", $J$14 =2)), AND(OR(EN_PF_Year3!$J$14= 2, EN_PF_Year3!$D$20="Year 2"), EN_PF_Year3!L51&lt;&gt;"",  OR($D$20="Year 3", $J$14 =3)))), _xlfn.CONCAT("Validated old score = ",EN_PF_Year3!L51,"               Validated new score = ",L51), AND(OR($D$20&lt;&gt;"",$J$14&lt;&gt;""),AND($D$20&lt;&gt;"Year 1",$J$14&lt;&gt;1),L51="", H51&lt;&gt;"", OR(AND(OR(EN_PF_YearZ!$J$14= 1, EN_PF_YearZ!$D$20="Year 1"), EN_PF_YearZ!L51&lt;&gt;"",  OR($D$20="Year 2", $J$14 =2)), AND(OR(EN_PF_YearZ!$J$14= 2, EN_PF_YearZ!$D$20="Year 2"), EN_PF_YearZ!L51&lt;&gt;"",  OR($D$20="Year 3", $J$14 =3)))), _xlfn.CONCAT("Validated old score = ",EN_PF_YearZ!L51,"               Validated new score = ",L51),AND(L51&lt;&gt;"",$D$14="Yes",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",EN_PF_QualitativeBaseline!$I$29,"               Validated new score = ",L51), AND(OR($D$14="No", $D$14="", EN_PF_QualitativeBaseline!$I$29=""),OR($D$20="Year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51" s="74"/>
      <c r="M51" s="55"/>
      <c r="N51" s="54"/>
      <c r="O51" s="52"/>
    </row>
    <row r="52" spans="1:15" ht="110.1" customHeight="1" x14ac:dyDescent="0.2">
      <c r="A52" s="17"/>
      <c r="B52" s="430"/>
      <c r="C52" s="408"/>
      <c r="D52" s="341" t="s">
        <v>660</v>
      </c>
      <c r="E52" s="341"/>
      <c r="F52" s="341"/>
      <c r="G52" s="80"/>
      <c r="H52" s="73" t="str" cm="1">
        <f t="array" ref="H52">_xlfn.IFS(G52=EN_PF_DROPDOWN!O26,"3",G52=EN_PF_DROPDOWN!O27,"2",G52=EN_PF_DROPDOWN!O28,"1",G52=EN_PF_DROPDOWN!O29,"0",G52="","")</f>
        <v/>
      </c>
      <c r="I52" s="55"/>
      <c r="J52" s="62" t="str" cm="1">
        <f t="array" ref="J52">_xlfn.IFS(G52=EN_PF_DROPDOWN!O26,EN_PF_DROPDOWN!Q26,G52=EN_PF_DROPDOWN!O27,EN_PF_DROPDOWN!Q27,G52=EN_PF_DROPDOWN!O28,EN_PF_DROPDOWN!Q28,G52=EN_PF_DROPDOWN!O29,EN_PF_DROPDOWN!Q29,G52="","")</f>
        <v/>
      </c>
      <c r="K52" s="78" t="str" cm="1">
        <f t="array" ref="K52">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OR(AND(H52="", L52=""), AND($D$20="",$J$14=""), AND(L52="", H52&lt;&gt;"",$D$14="Yes",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1",$J$14&lt;&gt;1),H52&lt;&gt;"", OR(AND(OR(EN_PF_Year3!$J$14= 1, EN_PF_Year3!$D$20="Year 1"), EN_PF_Year3!L52="",  OR($D$20="Year 2", $J$14 =2)), AND(OR(EN_PF_Year3!$J$14= 2, EN_PF_Year3!$D$20="Year 2"), EN_PF_Year3!L52="",  OR($D$20="Year 3", $J$14 =3)))), AND(OR($D$20&lt;&gt;"",$J$14&lt;&gt;""),AND($D$20&lt;&gt;"Year 1",$J$14&lt;&gt;1),L52="", H52&lt;&gt;"", OR(AND(OR(EN_PF_YearZ!$J$14= 1, EN_PF_YearZ!$D$20="Year 1"), EN_PF_YearZ!L52="",  OR($D$20="Year 2", $J$14 =2)), AND(OR(EN_PF_YearZ!$J$14= 2, EN_PF_YearZ!$D$20="Year 2"), EN_PF_YearZ!L52="",  OR($D$20="Year 3", $J$14 =3)))))), "", AND(L52="", H52&lt;&gt;"",$D$14="Yes",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",EN_PF_QualitativeBaseline!$I$29,"     Preliminary score = ",H52), AND(OR($D$20&lt;&gt;"",$J$14&lt;&gt;""),AND($D$20&lt;&gt;"Year 1",$J$14&lt;&gt;1),L52="", H52&lt;&gt;"", OR(AND(OR(EN_PF_Year3!$J$14= 1, EN_PF_Year3!$D$20="Year 1"), EN_PF_Year3!L52&lt;&gt;"",  OR($D$20="Year 2", $J$14 =2)), AND(OR(EN_PF_Year3!$J$14= 2, EN_PF_Year3!$D$20="Year 2"), EN_PF_Year3!L52&lt;&gt;"",  OR($D$20="Year 3", $J$14 =3)))), _xlfn.CONCAT("Validated old score = ",EN_PF_Year3!L52,"          Preliminary score = ",H52), AND(OR($D$20&lt;&gt;"",$J$14&lt;&gt;""),AND($D$20&lt;&gt;"Year 1",$J$14&lt;&gt;1),L52="", H52&lt;&gt;"", OR(AND(OR(EN_PF_YearZ!$J$14= 1, EN_PF_YearZ!$D$20="Year 1"), EN_PF_YearZ!L52&lt;&gt;"",  OR($D$20="Year 2", $J$14 =2)), AND(OR(EN_PF_YearZ!$J$14= 2, EN_PF_YearZ!$D$20="Year 2"), EN_PF_YearZ!L52&lt;&gt;"",  OR($D$20="Year 3", $J$14 =3)))), _xlfn.CONCAT("Validated old score = ",EN_PF_YearZ!L52,"          Preliminary score = ",H52), AND(OR($D$20&lt;&gt;"",$J$14&lt;&gt;""),AND($D$20&lt;&gt;"Year 1",$J$14&lt;&gt;1),L52&lt;&gt;"", OR(AND(OR(EN_PF_Year3!$J$14= 1, EN_PF_Year3!$D$20="Year 1"), EN_PF_Year3!L52&lt;&gt;"",  OR($D$20="Year 2", $J$14 =2)), AND(OR(EN_PF_Year3!$J$14= 2, EN_PF_Year3!$D$20="Year 2"), EN_PF_Year3!L52&lt;&gt;"",  OR($D$20="Year 3", $J$14 =3)))), _xlfn.CONCAT("Validated old score = ",EN_PF_Year3!L52,"               Validated new score = ",L52), AND(OR($D$20&lt;&gt;"",$J$14&lt;&gt;""),AND($D$20&lt;&gt;"Year 1",$J$14&lt;&gt;1),L52="", H52&lt;&gt;"", OR(AND(OR(EN_PF_YearZ!$J$14= 1, EN_PF_YearZ!$D$20="Year 1"), EN_PF_YearZ!L52&lt;&gt;"",  OR($D$20="Year 2", $J$14 =2)), AND(OR(EN_PF_YearZ!$J$14= 2, EN_PF_YearZ!$D$20="Year 2"), EN_PF_YearZ!L52&lt;&gt;"",  OR($D$20="Year 3", $J$14 =3)))), _xlfn.CONCAT("Validated old score = ",EN_PF_YearZ!L52,"               Validated new score = ",L52),AND(L52&lt;&gt;"",$D$14="Yes",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",EN_PF_QualitativeBaseline!$I$29,"               Validated new score = ",L52), AND(OR($D$14="No", $D$14="", EN_PF_QualitativeBaseline!$I$29=""),OR($D$20="Year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52" s="74"/>
      <c r="M52" s="55"/>
      <c r="N52" s="54"/>
      <c r="O52" s="52"/>
    </row>
    <row r="53" spans="1:15" ht="110.1" customHeight="1" x14ac:dyDescent="0.2">
      <c r="A53" s="17"/>
      <c r="B53" s="430"/>
      <c r="C53" s="409"/>
      <c r="D53" s="341" t="s">
        <v>659</v>
      </c>
      <c r="E53" s="341"/>
      <c r="F53" s="341"/>
      <c r="G53" s="80"/>
      <c r="H53" s="73" t="str" cm="1">
        <f t="array" ref="H53">_xlfn.IFS(G53=EN_PF_DROPDOWN!O32,"3",G53=EN_PF_DROPDOWN!O33,"2",G53=EN_PF_DROPDOWN!O34,"1",G53=EN_PF_DROPDOWN!O35,"0",G53="","")</f>
        <v/>
      </c>
      <c r="I53" s="55"/>
      <c r="J53" s="62" t="str" cm="1">
        <f t="array" ref="J53">_xlfn.IFS(G53=EN_PF_DROPDOWN!O32,EN_PF_DROPDOWN!Q32,G53=EN_PF_DROPDOWN!O33,EN_PF_DROPDOWN!Q33,G53=EN_PF_DROPDOWN!O34,EN_PF_DROPDOWN!Q34,G53=EN_PF_DROPDOWN!O35,EN_PF_DROPDOWN!Q35,G53="","")</f>
        <v/>
      </c>
      <c r="K53" s="78" t="str" cm="1">
        <f t="array" ref="K53">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OR(AND(H53="", L53=""), AND($D$20="",$J$14=""), AND(L53="", H53&lt;&gt;"",$D$14="Yes",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1",$J$14&lt;&gt;1),H53&lt;&gt;"", OR(AND(OR(EN_PF_Year3!$J$14= 1, EN_PF_Year3!$D$20="Year 1"), EN_PF_Year3!L53="",  OR($D$20="Year 2", $J$14 =2)), AND(OR(EN_PF_Year3!$J$14= 2, EN_PF_Year3!$D$20="Year 2"), EN_PF_Year3!L53="",  OR($D$20="Year 3", $J$14 =3)))), AND(OR($D$20&lt;&gt;"",$J$14&lt;&gt;""),AND($D$20&lt;&gt;"Year 1",$J$14&lt;&gt;1),L53="", H53&lt;&gt;"", OR(AND(OR(EN_PF_YearZ!$J$14= 1, EN_PF_YearZ!$D$20="Year 1"), EN_PF_YearZ!L53="",  OR($D$20="Year 2", $J$14 =2)), AND(OR(EN_PF_YearZ!$J$14= 2, EN_PF_YearZ!$D$20="Year 2"), EN_PF_YearZ!L53="",  OR($D$20="Year 3", $J$14 =3)))))), "", AND(L53="", H53&lt;&gt;"",$D$14="Yes",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",EN_PF_QualitativeBaseline!$I$29,"     Preliminary score = ",H53), AND(OR($D$20&lt;&gt;"",$J$14&lt;&gt;""),AND($D$20&lt;&gt;"Year 1",$J$14&lt;&gt;1),L53="", H53&lt;&gt;"", OR(AND(OR(EN_PF_Year3!$J$14= 1, EN_PF_Year3!$D$20="Year 1"), EN_PF_Year3!L53&lt;&gt;"",  OR($D$20="Year 2", $J$14 =2)), AND(OR(EN_PF_Year3!$J$14= 2, EN_PF_Year3!$D$20="Year 2"), EN_PF_Year3!L53&lt;&gt;"",  OR($D$20="Year 3", $J$14 =3)))), _xlfn.CONCAT("Validated old score = ",EN_PF_Year3!L53,"          Preliminary score = ",H53), AND(OR($D$20&lt;&gt;"",$J$14&lt;&gt;""),AND($D$20&lt;&gt;"Year 1",$J$14&lt;&gt;1),L53="", H53&lt;&gt;"", OR(AND(OR(EN_PF_YearZ!$J$14= 1, EN_PF_YearZ!$D$20="Year 1"), EN_PF_YearZ!L53&lt;&gt;"",  OR($D$20="Year 2", $J$14 =2)), AND(OR(EN_PF_YearZ!$J$14= 2, EN_PF_YearZ!$D$20="Year 2"), EN_PF_YearZ!L53&lt;&gt;"",  OR($D$20="Year 3", $J$14 =3)))), _xlfn.CONCAT("Validated old score = ",EN_PF_YearZ!L53,"          Preliminary score = ",H53), AND(OR($D$20&lt;&gt;"",$J$14&lt;&gt;""),AND($D$20&lt;&gt;"Year 1",$J$14&lt;&gt;1),L53&lt;&gt;"", OR(AND(OR(EN_PF_Year3!$J$14= 1, EN_PF_Year3!$D$20="Year 1"), EN_PF_Year3!L53&lt;&gt;"",  OR($D$20="Year 2", $J$14 =2)), AND(OR(EN_PF_Year3!$J$14= 2, EN_PF_Year3!$D$20="Year 2"), EN_PF_Year3!L53&lt;&gt;"",  OR($D$20="Year 3", $J$14 =3)))), _xlfn.CONCAT("Validated old score = ",EN_PF_Year3!L53,"               Validated new score = ",L53), AND(OR($D$20&lt;&gt;"",$J$14&lt;&gt;""),AND($D$20&lt;&gt;"Year 1",$J$14&lt;&gt;1),L53="", H53&lt;&gt;"", OR(AND(OR(EN_PF_YearZ!$J$14= 1, EN_PF_YearZ!$D$20="Year 1"), EN_PF_YearZ!L53&lt;&gt;"",  OR($D$20="Year 2", $J$14 =2)), AND(OR(EN_PF_YearZ!$J$14= 2, EN_PF_YearZ!$D$20="Year 2"), EN_PF_YearZ!L53&lt;&gt;"",  OR($D$20="Year 3", $J$14 =3)))), _xlfn.CONCAT("Validated old score = ",EN_PF_YearZ!L53,"               Validated new score = ",L53),AND(L53&lt;&gt;"",$D$14="Yes",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",EN_PF_QualitativeBaseline!$I$29,"               Validated new score = ",L53), AND(OR($D$14="No", $D$14="", EN_PF_QualitativeBaseline!$I$29=""),OR($D$20="Year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53" s="74"/>
      <c r="M53" s="55"/>
      <c r="N53" s="54"/>
      <c r="O53" s="52"/>
    </row>
    <row r="54" spans="1:15" ht="110.1" customHeight="1" x14ac:dyDescent="0.2">
      <c r="A54" s="17"/>
      <c r="B54" s="430"/>
      <c r="C54" s="341" t="s">
        <v>187</v>
      </c>
      <c r="D54" s="341" t="s">
        <v>656</v>
      </c>
      <c r="E54" s="341"/>
      <c r="F54" s="341"/>
      <c r="G54" s="80"/>
      <c r="H54" s="73" t="str" cm="1">
        <f t="array" ref="H54">_xlfn.IFS(G54=EN_PF_DROPDOWN!O38,"3",G54=EN_PF_DROPDOWN!O39,"1",G54=EN_PF_DROPDOWN!O40,"0",G54="","")</f>
        <v/>
      </c>
      <c r="I54" s="55"/>
      <c r="J54" s="62" t="str" cm="1">
        <f t="array" ref="J54">_xlfn.IFS(G54=EN_PF_DROPDOWN!O38,EN_PF_DROPDOWN!Q38,G54=EN_PF_DROPDOWN!O39,EN_PF_DROPDOWN!Q39,G54=EN_PF_DROPDOWN!O40,EN_PF_DROPDOWN!Q40,G54="","")</f>
        <v/>
      </c>
      <c r="K54" s="78" t="str" cm="1">
        <f t="array" ref="K54">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OR(AND(H54="", L54=""), AND($D$20="",$J$14=""), AND(L54="", H54&lt;&gt;"",$D$14="Yes",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1",$J$14&lt;&gt;1),H54&lt;&gt;"", OR(AND(OR(EN_PF_Year3!$J$14= 1, EN_PF_Year3!$D$20="Year 1"), EN_PF_Year3!L54="",  OR($D$20="Year 2", $J$14 =2)), AND(OR(EN_PF_Year3!$J$14= 2, EN_PF_Year3!$D$20="Year 2"), EN_PF_Year3!L54="",  OR($D$20="Year 3", $J$14 =3)))), AND(OR($D$20&lt;&gt;"",$J$14&lt;&gt;""),AND($D$20&lt;&gt;"Year 1",$J$14&lt;&gt;1),L54="", H54&lt;&gt;"", OR(AND(OR(EN_PF_YearZ!$J$14= 1, EN_PF_YearZ!$D$20="Year 1"), EN_PF_YearZ!L54="",  OR($D$20="Year 2", $J$14 =2)), AND(OR(EN_PF_YearZ!$J$14= 2, EN_PF_YearZ!$D$20="Year 2"), EN_PF_YearZ!L54="",  OR($D$20="Year 3", $J$14 =3)))))), "", AND(L54="", H54&lt;&gt;"",$D$14="Yes",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",EN_PF_QualitativeBaseline!$I$30,"     Preliminary score = ",H54), AND(OR($D$20&lt;&gt;"",$J$14&lt;&gt;""),AND($D$20&lt;&gt;"Year 1",$J$14&lt;&gt;1),L54="", H54&lt;&gt;"", OR(AND(OR(EN_PF_Year3!$J$14= 1, EN_PF_Year3!$D$20="Year 1"), EN_PF_Year3!L54&lt;&gt;"",  OR($D$20="Year 2", $J$14 =2)), AND(OR(EN_PF_Year3!$J$14= 2, EN_PF_Year3!$D$20="Year 2"), EN_PF_Year3!L54&lt;&gt;"",  OR($D$20="Year 3", $J$14 =3)))), _xlfn.CONCAT("Validated old score = ",EN_PF_Year3!L54,"          Preliminary score = ",H54), AND(OR($D$20&lt;&gt;"",$J$14&lt;&gt;""),AND($D$20&lt;&gt;"Year 1",$J$14&lt;&gt;1),L54="", H54&lt;&gt;"", OR(AND(OR(EN_PF_YearZ!$J$14= 1, EN_PF_YearZ!$D$20="Year 1"), EN_PF_YearZ!L54&lt;&gt;"",  OR($D$20="Year 2", $J$14 =2)), AND(OR(EN_PF_YearZ!$J$14= 2, EN_PF_YearZ!$D$20="Year 2"), EN_PF_YearZ!L54&lt;&gt;"",  OR($D$20="Year 3", $J$14 =3)))), _xlfn.CONCAT("Validated old score = ",EN_PF_YearZ!L54,"          Preliminary score = ",H54), AND(OR($D$20&lt;&gt;"",$J$14&lt;&gt;""),AND($D$20&lt;&gt;"Year 1",$J$14&lt;&gt;1),L54&lt;&gt;"", OR(AND(OR(EN_PF_Year3!$J$14= 1, EN_PF_Year3!$D$20="Year 1"), EN_PF_Year3!L54&lt;&gt;"",  OR($D$20="Year 2", $J$14 =2)), AND(OR(EN_PF_Year3!$J$14= 2, EN_PF_Year3!$D$20="Year 2"), EN_PF_Year3!L54&lt;&gt;"",  OR($D$20="Year 3", $J$14 =3)))), _xlfn.CONCAT("Validated old score = ",EN_PF_Year3!L54,"               Validated new score = ",L54), AND(OR($D$20&lt;&gt;"",$J$14&lt;&gt;""),AND($D$20&lt;&gt;"Year 1",$J$14&lt;&gt;1),L54="", H54&lt;&gt;"", OR(AND(OR(EN_PF_YearZ!$J$14= 1, EN_PF_YearZ!$D$20="Year 1"), EN_PF_YearZ!L54&lt;&gt;"",  OR($D$20="Year 2", $J$14 =2)), AND(OR(EN_PF_YearZ!$J$14= 2, EN_PF_YearZ!$D$20="Year 2"), EN_PF_YearZ!L54&lt;&gt;"",  OR($D$20="Year 3", $J$14 =3)))), _xlfn.CONCAT("Validated old score = ",EN_PF_YearZ!L54,"               Validated new score = ",L54),AND(L54&lt;&gt;"",$D$14="Yes",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",EN_PF_QualitativeBaseline!$I$30,"               Validated new score = ",L54), AND(OR($D$14="No", $D$14="", EN_PF_QualitativeBaseline!$I$30=""),OR($D$20="Year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54" s="74"/>
      <c r="M54" s="55"/>
      <c r="N54" s="54"/>
      <c r="O54" s="52"/>
    </row>
    <row r="55" spans="1:15" ht="110.1" customHeight="1" x14ac:dyDescent="0.2">
      <c r="A55" s="17"/>
      <c r="B55" s="430"/>
      <c r="C55" s="410"/>
      <c r="D55" s="341" t="s">
        <v>655</v>
      </c>
      <c r="E55" s="341"/>
      <c r="F55" s="341"/>
      <c r="G55" s="80"/>
      <c r="H55" s="73" t="str" cm="1">
        <f t="array" ref="H55">_xlfn.IFS(G55=EN_PF_DROPDOWN!O43,"3",G55=EN_PF_DROPDOWN!O44,"1",G55=EN_PF_DROPDOWN!O45,"0",G55="","")</f>
        <v/>
      </c>
      <c r="I55" s="55"/>
      <c r="J55" s="62" t="str" cm="1">
        <f t="array" ref="J55">_xlfn.IFS(G55=EN_PF_DROPDOWN!O43,EN_PF_DROPDOWN!Q43,G55=EN_PF_DROPDOWN!O44,EN_PF_DROPDOWN!Q44,G55=EN_PF_DROPDOWN!O45,EN_PF_DROPDOWN!Q45,G55="","")</f>
        <v/>
      </c>
      <c r="K55" s="78" t="str" cm="1">
        <f t="array" ref="K55">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OR(AND(H55="", L55=""), AND($D$20="",$J$14=""), AND(L55="", H55&lt;&gt;"",$D$14="Yes",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1",$J$14&lt;&gt;1),H55&lt;&gt;"", OR(AND(OR(EN_PF_Year3!$J$14= 1, EN_PF_Year3!$D$20="Year 1"), EN_PF_Year3!L55="",  OR($D$20="Year 2", $J$14 =2)), AND(OR(EN_PF_Year3!$J$14= 2, EN_PF_Year3!$D$20="Year 2"), EN_PF_Year3!L55="",  OR($D$20="Year 3", $J$14 =3)))), AND(OR($D$20&lt;&gt;"",$J$14&lt;&gt;""),AND($D$20&lt;&gt;"Year 1",$J$14&lt;&gt;1),L55="", H55&lt;&gt;"", OR(AND(OR(EN_PF_YearZ!$J$14= 1, EN_PF_YearZ!$D$20="Year 1"), EN_PF_YearZ!L55="",  OR($D$20="Year 2", $J$14 =2)), AND(OR(EN_PF_YearZ!$J$14= 2, EN_PF_YearZ!$D$20="Year 2"), EN_PF_YearZ!L55="",  OR($D$20="Year 3", $J$14 =3)))))), "", AND(L55="", H55&lt;&gt;"",$D$14="Yes",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",EN_PF_QualitativeBaseline!$I$30,"     Preliminary score = ",H55), AND(OR($D$20&lt;&gt;"",$J$14&lt;&gt;""),AND($D$20&lt;&gt;"Year 1",$J$14&lt;&gt;1),L55="", H55&lt;&gt;"", OR(AND(OR(EN_PF_Year3!$J$14= 1, EN_PF_Year3!$D$20="Year 1"), EN_PF_Year3!L55&lt;&gt;"",  OR($D$20="Year 2", $J$14 =2)), AND(OR(EN_PF_Year3!$J$14= 2, EN_PF_Year3!$D$20="Year 2"), EN_PF_Year3!L55&lt;&gt;"",  OR($D$20="Year 3", $J$14 =3)))), _xlfn.CONCAT("Validated old score = ",EN_PF_Year3!L55,"          Preliminary score = ",H55), AND(OR($D$20&lt;&gt;"",$J$14&lt;&gt;""),AND($D$20&lt;&gt;"Year 1",$J$14&lt;&gt;1),L55="", H55&lt;&gt;"", OR(AND(OR(EN_PF_YearZ!$J$14= 1, EN_PF_YearZ!$D$20="Year 1"), EN_PF_YearZ!L55&lt;&gt;"",  OR($D$20="Year 2", $J$14 =2)), AND(OR(EN_PF_YearZ!$J$14= 2, EN_PF_YearZ!$D$20="Year 2"), EN_PF_YearZ!L55&lt;&gt;"",  OR($D$20="Year 3", $J$14 =3)))), _xlfn.CONCAT("Validated old score = ",EN_PF_YearZ!L55,"          Preliminary score = ",H55), AND(OR($D$20&lt;&gt;"",$J$14&lt;&gt;""),AND($D$20&lt;&gt;"Year 1",$J$14&lt;&gt;1),L55&lt;&gt;"", OR(AND(OR(EN_PF_Year3!$J$14= 1, EN_PF_Year3!$D$20="Year 1"), EN_PF_Year3!L55&lt;&gt;"",  OR($D$20="Year 2", $J$14 =2)), AND(OR(EN_PF_Year3!$J$14= 2, EN_PF_Year3!$D$20="Year 2"), EN_PF_Year3!L55&lt;&gt;"",  OR($D$20="Year 3", $J$14 =3)))), _xlfn.CONCAT("Validated old score = ",EN_PF_Year3!L55,"               Validated new score = ",L55), AND(OR($D$20&lt;&gt;"",$J$14&lt;&gt;""),AND($D$20&lt;&gt;"Year 1",$J$14&lt;&gt;1),L55="", H55&lt;&gt;"", OR(AND(OR(EN_PF_YearZ!$J$14= 1, EN_PF_YearZ!$D$20="Year 1"), EN_PF_YearZ!L55&lt;&gt;"",  OR($D$20="Year 2", $J$14 =2)), AND(OR(EN_PF_YearZ!$J$14= 2, EN_PF_YearZ!$D$20="Year 2"), EN_PF_YearZ!L55&lt;&gt;"",  OR($D$20="Year 3", $J$14 =3)))), _xlfn.CONCAT("Validated old score = ",EN_PF_YearZ!L55,"               Validated new score = ",L55),AND(L55&lt;&gt;"",$D$14="Yes",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",EN_PF_QualitativeBaseline!$I$30,"               Validated new score = ",L55), AND(OR($D$14="No", $D$14="", EN_PF_QualitativeBaseline!$I$30=""),OR($D$20="Year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55" s="74"/>
      <c r="M55" s="55"/>
      <c r="N55" s="54"/>
      <c r="O55" s="52"/>
    </row>
    <row r="56" spans="1:15" ht="110.1" customHeight="1" x14ac:dyDescent="0.2">
      <c r="A56" s="17"/>
      <c r="B56" s="430"/>
      <c r="C56" s="47" t="s">
        <v>188</v>
      </c>
      <c r="D56" s="341" t="s">
        <v>657</v>
      </c>
      <c r="E56" s="341"/>
      <c r="F56" s="341"/>
      <c r="G56" s="80"/>
      <c r="H56" s="73" t="str" cm="1">
        <f t="array" ref="H56">_xlfn.IFS(G56=EN_PF_DROPDOWN!O48,"2",G56=EN_PF_DROPDOWN!O49,"1",G56=EN_PF_DROPDOWN!O50,"0",G56="","")</f>
        <v/>
      </c>
      <c r="I56" s="55"/>
      <c r="J56" s="62" t="str" cm="1">
        <f t="array" ref="J56">_xlfn.IFS(G56=EN_PF_DROPDOWN!O48,EN_PF_DROPDOWN!Q48,G56=EN_PF_DROPDOWN!O49,EN_PF_DROPDOWN!Q49,G56=EN_PF_DROPDOWN!O50,EN_PF_DROPDOWN!Q50,G56="","")</f>
        <v/>
      </c>
      <c r="K56" s="78" t="str" cm="1">
        <f t="array" ref="K56">_xlfn.IFS(OR(OR(AND($D20&lt;&gt;"", EN_PF_Year3!$D$20&lt;&gt;"", $D$20=EN_PF_Year3!$D$20), AND($D$20&lt;&gt;"",  EN_PF_YearZ!$D$20&lt;&gt;"", $D$20=EN_PF_YearZ!$D$20), AND(EN_PF_Year3!$D$20&lt;&gt;"", EN_PF_YearZ!$D$20&lt;&gt;"", EN_PF_Year3!$D$2=EN_PF_YearZ!$D$20), AND($J$14&lt;&gt;"", EN_PF_Year3!$J$14&lt;&gt;"",  $J$14=EN_PF_Year3!$J$14), AND($J$14&lt;&gt;"", EN_PF_YearZ!$J$14&lt;&gt;"", $J$14=EN_PF_YearZ!$J$14), AND(EN_PF_Year3!$J$14&lt;&gt;"", EN_PF_YearZ!$J$14&lt;&gt;"", EN_PF_Year3!$J$14=EN_PF_YearZ!$J$14)), AND(OR($D$20="Year 3",$J$14=3), EN_PF_Year3!$D$20&lt;&gt;"Year 2", EN_PF_Year3!$J$14&lt;&gt;2, EN_PF_YearZ!$D$20&lt;&gt;"Year 2", EN_PF_YearZ!$J$14&lt;&gt;2, OR(EN_PF_Year3!$D$20="Year 1", EN_PF_Year3!$J$14=1, EN_PF_YearZ!$D$20="Year 1", EN_PF_YearZ!$J$14=1)), OR(AND(H56="", L56=""), AND($D$20="",$J$14=""), AND(L56="", H56&lt;&gt;"",$D$14="Yes",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EN_PF_QualitativeBaseline!I16=""), AND(OR($D$20&lt;&gt;"",$J$14&lt;&gt;""),AND($D$20&lt;&gt;"Year 1",$J$14&lt;&gt;1),H56&lt;&gt;"", OR(AND(OR(EN_PF_Year3!$J$14= 1, EN_PF_Year3!$D$20="Year 1"), EN_PF_Year3!L56="",  OR($D$20="Year 2", $J$14 =2)), AND(OR(EN_PF_Year3!$J$14= 2, EN_PF_Year3!$D$20="Year 2"), EN_PF_Year3!L56="",  OR($D$20="Year 3", $J$14 =3)))), AND(OR($D$20&lt;&gt;"",$J$14&lt;&gt;""),AND($D$20&lt;&gt;"Year 1",$J$14&lt;&gt;1),L56="", H56&lt;&gt;"", OR(AND(OR(EN_PF_YearZ!$J$14= 1, EN_PF_YearZ!$D$20="Year 1"), EN_PF_YearZ!L56="",  OR($D$20="Year 2", $J$14 =2)), AND(OR(EN_PF_YearZ!$J$14= 2, EN_PF_YearZ!$D$20="Year 2"), EN_PF_YearZ!L56="",  OR($D$20="Year 3", $J$14 =3)))))), "", AND(L56="", H56&lt;&gt;"",$D$14="Yes",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",EN_PF_QualitativeBaseline!$I$31,"     Preliminary score = ",H56), AND(OR($D$20&lt;&gt;"",$J$14&lt;&gt;""),AND($D$20&lt;&gt;"Year 1",$J$14&lt;&gt;1),L56="", H56&lt;&gt;"", OR(AND(OR(EN_PF_Year3!$J$14= 1, EN_PF_Year3!$D$20="Year 1"), EN_PF_Year3!L56&lt;&gt;"",  OR($D$20="Year 2", $J$14 =2)), AND(OR(EN_PF_Year3!$J$14= 2, EN_PF_Year3!$D$20="Year 2"), EN_PF_Year3!L56&lt;&gt;"",  OR($D$20="Year 3", $J$14 =3)))), _xlfn.CONCAT("Validated old score = ",EN_PF_Year3!L56,"          Preliminary score = ",H56), AND(OR($D$20&lt;&gt;"",$J$14&lt;&gt;""),AND($D$20&lt;&gt;"Year 1",$J$14&lt;&gt;1),L56="", H56&lt;&gt;"", OR(AND(OR(EN_PF_YearZ!$J$14= 1, EN_PF_YearZ!$D$20="Year 1"), EN_PF_YearZ!L56&lt;&gt;"",  OR($D$20="Year 2", $J$14 =2)), AND(OR(EN_PF_YearZ!$J$14= 2, EN_PF_YearZ!$D$20="Year 2"), EN_PF_YearZ!L56&lt;&gt;"",  OR($D$20="Year 3", $J$14 =3)))), _xlfn.CONCAT("Validated old score = ",EN_PF_YearZ!L56,"          Preliminary score = ",H56), AND(OR($D$20&lt;&gt;"",$J$14&lt;&gt;""),AND($D$20&lt;&gt;"Year 1",$J$14&lt;&gt;1),L56&lt;&gt;"", OR(AND(OR(EN_PF_Year3!$J$14= 1, EN_PF_Year3!$D$20="Year 1"), EN_PF_Year3!L56&lt;&gt;"",  OR($D$20="Year 2", $J$14 =2)), AND(OR(EN_PF_Year3!$J$14= 2, EN_PF_Year3!$D$20="Year 2"), EN_PF_Year3!L56&lt;&gt;"",  OR($D$20="Year 3", $J$14 =3)))), _xlfn.CONCAT("Validated old score = ",EN_PF_Year3!L56,"               Validated new score = ",L56), AND(OR($D$20&lt;&gt;"",$J$14&lt;&gt;""),AND($D$20&lt;&gt;"Year 1",$J$14&lt;&gt;1),L56="", H56&lt;&gt;"", OR(AND(OR(EN_PF_YearZ!$J$14= 1, EN_PF_YearZ!$D$20="Year 1"), EN_PF_YearZ!L56&lt;&gt;"",  OR($D$20="Year 2", $J$14 =2)), AND(OR(EN_PF_YearZ!$J$14= 2, EN_PF_YearZ!$D$20="Year 2"), EN_PF_YearZ!L56&lt;&gt;"",  OR($D$20="Year 3", $J$14 =3)))), _xlfn.CONCAT("Validated old score = ",EN_PF_YearZ!L56,"               Validated new score = ",L56),AND(L56&lt;&gt;"",$D$14="Yes", OR($D$20="Year 1",$J$14=1, AND(OR($D$20="Year 2",$J$14=2), EN_PF_Year3!$D$20&lt;&gt;"Year 1", EN_PF_Year3!$D$20&lt;&gt;1, EN_PF_YearZ!$D$20&lt;&gt;"Year 1", EN_PF_YearZ!$D$20&lt;&gt;1),AND(OR($D$20="Year 3",$J$14=3), EN_PF_Year3!$D$20&lt;&gt;"Year 1", EN_PF_Year3!$D$20&lt;&gt;1, EN_PF_YearZ!$D$20&lt;&gt;"Year 1", EN_PF_YearZ!$D$20&lt;&gt;1, EN_PF_Year3!$D$20&lt;&gt;"Year 2", EN_PF_Year3!$D$20&lt;&gt;2, EN_PF_YearZ!$D$20&lt;&gt;"Year 2", EN_PF_YearZ!$D$20&lt;&gt;2))), _xlfn.CONCAT("Baseline objective = ",EN_PF_QualitativeBaseline!$I$31,"               Validated new score = ",L56), AND(OR($D$14="No", $D$14="", EN_PF_QualitativeBaseline!$I$31=""),OR($D$20="Year 1",$J$14=1,AND(OR($D$20="Year 2",$J$14=2),EN_PF_Year3!$D$20&lt;&gt;"Year 1",EN_PF_Year3!$D$20&lt;&gt;1,EN_PF_YearZ!$D$20&lt;&gt;"Year 1",EN_PF_YearZ!$D$20&lt;&gt;1),AND(OR($D$20="Year 3",$J$14=3),EN_PF_Year3!$D$20&lt;&gt;"Year 1",EN_PF_Year3!$D$20&lt;&gt;1,EN_PF_YearZ!$D$20&lt;&gt;"Year 1",EN_PF_YearZ!$D$20&lt;&gt;1,EN_PF_Year3!$D$20&lt;&gt;"Year 2",EN_PF_Year3!$D$20&lt;&gt;2,EN_PF_YearZ!$D$20&lt;&gt;"Year 2",EN_PF_YearZ!$D$20&lt;&gt;2))),"No Baseline available")</f>
        <v/>
      </c>
      <c r="L56" s="74"/>
      <c r="M56" s="55"/>
      <c r="N56" s="54"/>
      <c r="O56" s="52"/>
    </row>
    <row r="57" spans="1:15" ht="18" x14ac:dyDescent="0.2">
      <c r="A57" s="17"/>
      <c r="B57" s="17"/>
      <c r="C57" s="17"/>
      <c r="D57" s="17"/>
      <c r="E57" s="17"/>
      <c r="F57" s="17"/>
      <c r="G57" s="17"/>
      <c r="H57" s="17"/>
      <c r="I57" s="17"/>
      <c r="J57" s="17"/>
      <c r="K57" s="17"/>
      <c r="L57" s="17"/>
      <c r="M57" s="17"/>
      <c r="N57" s="54"/>
    </row>
    <row r="58" spans="1:15" ht="18" x14ac:dyDescent="0.2">
      <c r="A58" s="17"/>
      <c r="B58" s="17"/>
      <c r="C58" s="17"/>
      <c r="D58" s="17"/>
      <c r="E58" s="17"/>
      <c r="F58" s="17"/>
      <c r="G58" s="17"/>
      <c r="H58" s="17"/>
      <c r="I58" s="17"/>
      <c r="J58" s="17"/>
      <c r="K58" s="17"/>
      <c r="L58" s="17"/>
      <c r="M58" s="17"/>
      <c r="N58" s="54"/>
    </row>
    <row r="59" spans="1:15" ht="18" x14ac:dyDescent="0.2">
      <c r="A59" s="17"/>
      <c r="B59" s="17"/>
      <c r="C59" s="17"/>
      <c r="D59" s="17"/>
      <c r="E59" s="17"/>
      <c r="F59" s="17"/>
      <c r="G59" s="17"/>
      <c r="H59" s="17"/>
      <c r="I59" s="17"/>
      <c r="J59" s="17"/>
      <c r="K59" s="17"/>
      <c r="L59" s="17"/>
      <c r="M59" s="17"/>
      <c r="N59" s="54"/>
    </row>
    <row r="60" spans="1:15" ht="18" x14ac:dyDescent="0.2">
      <c r="A60" s="17"/>
      <c r="B60" s="17"/>
      <c r="C60" s="17"/>
      <c r="D60" s="17"/>
      <c r="E60" s="17"/>
      <c r="F60" s="17"/>
      <c r="G60" s="17"/>
      <c r="H60" s="17"/>
      <c r="I60" s="17"/>
      <c r="J60" s="17"/>
      <c r="K60" s="17"/>
      <c r="L60" s="17"/>
      <c r="M60" s="17"/>
      <c r="N60" s="54"/>
    </row>
    <row r="61" spans="1:15" ht="18" x14ac:dyDescent="0.2">
      <c r="A61" s="17"/>
      <c r="B61" s="17"/>
      <c r="C61" s="17"/>
      <c r="D61" s="17"/>
      <c r="E61" s="17"/>
      <c r="F61" s="17"/>
      <c r="G61" s="17"/>
      <c r="H61" s="17"/>
      <c r="I61" s="17"/>
      <c r="J61" s="17"/>
      <c r="K61" s="17"/>
      <c r="L61" s="17"/>
      <c r="M61" s="17"/>
      <c r="N61" s="54"/>
    </row>
    <row r="62" spans="1:15" ht="18" x14ac:dyDescent="0.2">
      <c r="A62" s="17"/>
      <c r="B62" s="17"/>
      <c r="C62" s="17"/>
      <c r="D62" s="17"/>
      <c r="E62" s="17"/>
      <c r="F62" s="17"/>
      <c r="G62" s="17"/>
      <c r="H62" s="17"/>
      <c r="I62" s="17"/>
      <c r="J62" s="17"/>
      <c r="K62" s="17"/>
      <c r="L62" s="17"/>
      <c r="M62" s="17"/>
      <c r="N62" s="54"/>
    </row>
    <row r="63" spans="1:15" ht="18" x14ac:dyDescent="0.2">
      <c r="A63" s="17"/>
      <c r="B63" s="17"/>
      <c r="C63" s="17"/>
      <c r="D63" s="17"/>
      <c r="E63" s="17"/>
      <c r="F63" s="17"/>
      <c r="G63" s="17"/>
      <c r="H63" s="17"/>
      <c r="I63" s="17"/>
      <c r="J63" s="17"/>
      <c r="K63" s="17"/>
      <c r="L63" s="17"/>
      <c r="M63" s="17"/>
      <c r="N63" s="54"/>
    </row>
    <row r="64" spans="1:15" ht="18" x14ac:dyDescent="0.2">
      <c r="A64" s="17"/>
      <c r="B64" s="17"/>
      <c r="C64" s="17"/>
      <c r="D64" s="17"/>
      <c r="E64" s="17"/>
      <c r="F64" s="17"/>
      <c r="G64" s="17"/>
      <c r="H64" s="17"/>
      <c r="I64" s="17"/>
      <c r="J64" s="17"/>
      <c r="K64" s="17"/>
      <c r="L64" s="17"/>
      <c r="M64" s="17"/>
      <c r="N64" s="54"/>
    </row>
    <row r="65" spans="1:14" ht="18" x14ac:dyDescent="0.2">
      <c r="A65" s="17"/>
      <c r="B65" s="17"/>
      <c r="C65" s="17"/>
      <c r="D65" s="17"/>
      <c r="E65" s="17"/>
      <c r="F65" s="17"/>
      <c r="G65" s="17"/>
      <c r="H65" s="17"/>
      <c r="I65" s="17"/>
      <c r="J65" s="17"/>
      <c r="K65" s="17"/>
      <c r="L65" s="17"/>
      <c r="M65" s="17"/>
      <c r="N65" s="54"/>
    </row>
    <row r="66" spans="1:14" ht="18" x14ac:dyDescent="0.2">
      <c r="A66" s="17"/>
      <c r="B66" s="17"/>
      <c r="C66" s="17"/>
      <c r="D66" s="17"/>
      <c r="E66" s="17"/>
      <c r="F66" s="17"/>
      <c r="G66" s="17"/>
      <c r="H66" s="17"/>
      <c r="I66" s="17"/>
      <c r="J66" s="17"/>
      <c r="K66" s="17"/>
      <c r="L66" s="17"/>
      <c r="M66" s="17"/>
      <c r="N66" s="54"/>
    </row>
    <row r="67" spans="1:14" ht="18" x14ac:dyDescent="0.2">
      <c r="A67" s="17"/>
      <c r="B67" s="17"/>
      <c r="C67" s="17"/>
      <c r="D67" s="17"/>
      <c r="E67" s="17"/>
      <c r="F67" s="17"/>
      <c r="G67" s="17"/>
      <c r="H67" s="17"/>
      <c r="I67" s="17"/>
      <c r="J67" s="17"/>
      <c r="K67" s="17"/>
      <c r="L67" s="17"/>
      <c r="M67" s="17"/>
      <c r="N67" s="54"/>
    </row>
    <row r="68" spans="1:14" ht="18" x14ac:dyDescent="0.2">
      <c r="A68" s="17"/>
      <c r="B68" s="17"/>
      <c r="C68" s="17"/>
      <c r="D68" s="17"/>
      <c r="E68" s="17"/>
      <c r="F68" s="17"/>
      <c r="G68" s="17"/>
      <c r="H68" s="17"/>
      <c r="I68" s="17"/>
      <c r="J68" s="17"/>
      <c r="K68" s="17"/>
      <c r="L68" s="17"/>
      <c r="M68" s="17"/>
      <c r="N68" s="54"/>
    </row>
    <row r="69" spans="1:14" ht="18" x14ac:dyDescent="0.2">
      <c r="A69" s="17"/>
      <c r="B69" s="17"/>
      <c r="C69" s="17"/>
      <c r="D69" s="17"/>
      <c r="E69" s="17"/>
      <c r="F69" s="17"/>
      <c r="G69" s="17"/>
      <c r="H69" s="17"/>
      <c r="I69" s="17"/>
      <c r="J69" s="17"/>
      <c r="K69" s="17"/>
      <c r="L69" s="17"/>
      <c r="M69" s="17"/>
      <c r="N69" s="54"/>
    </row>
    <row r="70" spans="1:14" ht="18" x14ac:dyDescent="0.2">
      <c r="A70" s="17"/>
      <c r="B70" s="17"/>
      <c r="C70" s="17"/>
      <c r="D70" s="17"/>
      <c r="E70" s="17"/>
      <c r="F70" s="17"/>
      <c r="G70" s="17"/>
      <c r="H70" s="17"/>
      <c r="I70" s="17"/>
      <c r="J70" s="17"/>
      <c r="K70" s="17"/>
      <c r="L70" s="17"/>
      <c r="M70" s="17"/>
      <c r="N70" s="54"/>
    </row>
    <row r="71" spans="1:14" ht="18" x14ac:dyDescent="0.2">
      <c r="A71" s="17"/>
      <c r="B71" s="17"/>
      <c r="C71" s="17"/>
      <c r="D71" s="17"/>
      <c r="E71" s="17"/>
      <c r="F71" s="17"/>
      <c r="G71" s="17"/>
      <c r="H71" s="17"/>
      <c r="I71" s="17"/>
      <c r="J71" s="17"/>
      <c r="K71" s="17"/>
      <c r="L71" s="17"/>
      <c r="M71" s="17"/>
      <c r="N71" s="54"/>
    </row>
    <row r="72" spans="1:14" ht="18" x14ac:dyDescent="0.2">
      <c r="A72" s="17"/>
      <c r="B72" s="17"/>
      <c r="C72" s="17"/>
      <c r="D72" s="17"/>
      <c r="E72" s="17"/>
      <c r="F72" s="17"/>
      <c r="G72" s="17"/>
      <c r="H72" s="17"/>
      <c r="I72" s="17"/>
      <c r="J72" s="17"/>
      <c r="K72" s="17"/>
      <c r="L72" s="17"/>
      <c r="M72" s="17"/>
      <c r="N72" s="54"/>
    </row>
    <row r="73" spans="1:14" ht="18" x14ac:dyDescent="0.2">
      <c r="A73" s="17"/>
      <c r="B73" s="17"/>
      <c r="C73" s="17"/>
      <c r="D73" s="17"/>
      <c r="E73" s="17"/>
      <c r="F73" s="17"/>
      <c r="G73" s="17"/>
      <c r="H73" s="17"/>
      <c r="I73" s="17"/>
      <c r="J73" s="17"/>
      <c r="K73" s="17"/>
      <c r="L73" s="17"/>
      <c r="M73" s="17"/>
      <c r="N73" s="60"/>
    </row>
    <row r="74" spans="1:14" x14ac:dyDescent="0.2">
      <c r="A74" s="17"/>
      <c r="B74" s="17"/>
      <c r="C74" s="17"/>
      <c r="D74" s="17"/>
      <c r="E74" s="17"/>
      <c r="F74" s="17"/>
      <c r="G74" s="17"/>
      <c r="H74" s="17"/>
      <c r="I74" s="17"/>
      <c r="J74" s="17"/>
      <c r="K74" s="17"/>
      <c r="L74" s="17"/>
      <c r="M74" s="17"/>
    </row>
    <row r="75" spans="1:14" x14ac:dyDescent="0.2">
      <c r="A75" s="17"/>
      <c r="B75" s="17"/>
      <c r="C75" s="17"/>
      <c r="D75" s="17"/>
      <c r="E75" s="17"/>
      <c r="F75" s="17"/>
      <c r="G75" s="17"/>
      <c r="H75" s="17"/>
      <c r="I75" s="17"/>
      <c r="J75" s="17"/>
      <c r="K75" s="17"/>
      <c r="L75" s="17"/>
      <c r="M75" s="17"/>
    </row>
    <row r="76" spans="1:14" x14ac:dyDescent="0.2">
      <c r="A76" s="17"/>
      <c r="B76" s="17"/>
      <c r="C76" s="17"/>
      <c r="D76" s="17"/>
      <c r="E76" s="17"/>
      <c r="F76" s="17"/>
      <c r="G76" s="17"/>
      <c r="H76" s="17"/>
      <c r="I76" s="17"/>
      <c r="J76" s="17"/>
      <c r="K76" s="17"/>
      <c r="L76" s="17"/>
      <c r="M76" s="17"/>
    </row>
    <row r="77" spans="1:14" x14ac:dyDescent="0.2">
      <c r="A77" s="17"/>
      <c r="B77" s="17"/>
      <c r="C77" s="17"/>
      <c r="D77" s="17"/>
      <c r="E77" s="17"/>
      <c r="F77" s="17"/>
      <c r="G77" s="17"/>
      <c r="H77" s="17"/>
      <c r="I77" s="17"/>
      <c r="J77" s="17"/>
      <c r="K77" s="17"/>
      <c r="L77" s="17"/>
      <c r="M77" s="17"/>
    </row>
    <row r="78" spans="1:14" x14ac:dyDescent="0.2">
      <c r="A78" s="17"/>
      <c r="B78" s="17"/>
      <c r="C78" s="17"/>
      <c r="D78" s="17"/>
      <c r="E78" s="17"/>
      <c r="F78" s="17"/>
      <c r="G78" s="17"/>
      <c r="H78" s="17"/>
      <c r="I78" s="17"/>
      <c r="J78" s="17"/>
      <c r="K78" s="17"/>
      <c r="L78" s="17"/>
      <c r="M78" s="17"/>
    </row>
    <row r="79" spans="1:14" x14ac:dyDescent="0.2">
      <c r="A79" s="17"/>
      <c r="B79" s="17"/>
      <c r="C79" s="17"/>
      <c r="D79" s="17"/>
      <c r="E79" s="17"/>
      <c r="F79" s="17"/>
      <c r="G79" s="17"/>
      <c r="H79" s="17"/>
      <c r="I79" s="17"/>
      <c r="J79" s="17"/>
      <c r="K79" s="17"/>
      <c r="L79" s="17"/>
      <c r="M79" s="17"/>
    </row>
    <row r="80" spans="1:14" x14ac:dyDescent="0.2">
      <c r="A80" s="17"/>
      <c r="B80" s="17"/>
      <c r="C80" s="17"/>
      <c r="D80" s="17"/>
      <c r="E80" s="17"/>
      <c r="F80" s="17"/>
      <c r="G80" s="17"/>
      <c r="H80" s="17"/>
      <c r="I80" s="17"/>
      <c r="J80" s="17"/>
      <c r="K80" s="17"/>
      <c r="L80" s="17"/>
      <c r="M80" s="17"/>
    </row>
    <row r="81" spans="1:13" x14ac:dyDescent="0.2">
      <c r="A81" s="17"/>
      <c r="B81" s="17"/>
      <c r="C81" s="17"/>
      <c r="D81" s="17"/>
      <c r="E81" s="17"/>
      <c r="F81" s="17"/>
      <c r="G81" s="17"/>
      <c r="H81" s="17"/>
      <c r="I81" s="17"/>
      <c r="J81" s="17"/>
      <c r="K81" s="17"/>
      <c r="L81" s="17"/>
      <c r="M81" s="17"/>
    </row>
    <row r="82" spans="1:13" x14ac:dyDescent="0.2">
      <c r="A82" s="17"/>
      <c r="B82" s="17"/>
      <c r="C82" s="17"/>
      <c r="D82" s="17"/>
      <c r="E82" s="17"/>
      <c r="F82" s="17"/>
      <c r="G82" s="17"/>
      <c r="H82" s="17"/>
      <c r="I82" s="17"/>
      <c r="J82" s="17"/>
      <c r="K82" s="17"/>
      <c r="L82" s="17"/>
      <c r="M82" s="17"/>
    </row>
    <row r="83" spans="1:13" x14ac:dyDescent="0.2">
      <c r="A83" s="17"/>
      <c r="B83" s="17"/>
      <c r="C83" s="17"/>
      <c r="D83" s="17"/>
      <c r="E83" s="17"/>
      <c r="F83" s="17"/>
      <c r="G83" s="17"/>
      <c r="H83" s="17"/>
      <c r="I83" s="17"/>
      <c r="J83" s="17"/>
      <c r="K83" s="17"/>
      <c r="L83" s="17"/>
      <c r="M83" s="17"/>
    </row>
    <row r="84" spans="1:13" x14ac:dyDescent="0.2">
      <c r="A84" s="17"/>
      <c r="B84" s="17"/>
      <c r="C84" s="17"/>
      <c r="D84" s="17"/>
      <c r="E84" s="17"/>
      <c r="F84" s="17"/>
      <c r="G84" s="17"/>
      <c r="H84" s="17"/>
      <c r="I84" s="17"/>
      <c r="J84" s="17"/>
      <c r="K84" s="17"/>
      <c r="L84" s="17"/>
      <c r="M84" s="17"/>
    </row>
    <row r="85" spans="1:13" x14ac:dyDescent="0.2">
      <c r="A85" s="17"/>
      <c r="B85" s="17"/>
      <c r="C85" s="17"/>
      <c r="D85" s="17"/>
      <c r="E85" s="17"/>
      <c r="F85" s="17"/>
      <c r="G85" s="17"/>
      <c r="H85" s="17"/>
      <c r="I85" s="17"/>
      <c r="J85" s="17"/>
      <c r="K85" s="17"/>
      <c r="L85" s="17"/>
      <c r="M85" s="17"/>
    </row>
    <row r="86" spans="1:13" x14ac:dyDescent="0.2">
      <c r="A86" s="17"/>
      <c r="B86" s="17"/>
      <c r="C86" s="17"/>
      <c r="D86" s="17"/>
      <c r="E86" s="17"/>
      <c r="F86" s="17"/>
      <c r="G86" s="17"/>
      <c r="H86" s="17"/>
      <c r="I86" s="17"/>
      <c r="J86" s="17"/>
      <c r="K86" s="17"/>
      <c r="L86" s="17"/>
      <c r="M86" s="17"/>
    </row>
    <row r="87" spans="1:13" x14ac:dyDescent="0.2">
      <c r="A87" s="17"/>
      <c r="B87" s="17"/>
      <c r="C87" s="17"/>
      <c r="D87" s="17"/>
      <c r="E87" s="17"/>
      <c r="F87" s="17"/>
      <c r="G87" s="17"/>
      <c r="H87" s="17"/>
      <c r="I87" s="17"/>
      <c r="J87" s="17"/>
      <c r="K87" s="17"/>
      <c r="L87" s="17"/>
      <c r="M87" s="17"/>
    </row>
    <row r="88" spans="1:13" x14ac:dyDescent="0.2">
      <c r="A88" s="17"/>
      <c r="B88" s="17"/>
      <c r="C88" s="17"/>
      <c r="D88" s="17"/>
      <c r="E88" s="17"/>
      <c r="F88" s="17"/>
      <c r="G88" s="17"/>
      <c r="H88" s="17"/>
      <c r="I88" s="17"/>
      <c r="J88" s="17"/>
      <c r="K88" s="17"/>
      <c r="L88" s="17"/>
      <c r="M88" s="17"/>
    </row>
    <row r="89" spans="1:13" x14ac:dyDescent="0.2">
      <c r="A89" s="17"/>
      <c r="B89" s="17"/>
      <c r="C89" s="17"/>
      <c r="D89" s="17"/>
      <c r="E89" s="17"/>
      <c r="F89" s="17"/>
      <c r="G89" s="17"/>
      <c r="H89" s="17"/>
      <c r="I89" s="17"/>
      <c r="J89" s="17"/>
      <c r="K89" s="17"/>
      <c r="L89" s="17"/>
      <c r="M89" s="17"/>
    </row>
    <row r="90" spans="1:13" x14ac:dyDescent="0.2">
      <c r="A90" s="17"/>
      <c r="B90" s="17"/>
      <c r="C90" s="17"/>
      <c r="D90" s="17"/>
      <c r="E90" s="17"/>
      <c r="F90" s="17"/>
      <c r="G90" s="17"/>
      <c r="H90" s="17"/>
      <c r="I90" s="17"/>
      <c r="J90" s="17"/>
      <c r="K90" s="17"/>
      <c r="L90" s="17"/>
      <c r="M90" s="17"/>
    </row>
    <row r="91" spans="1:13" x14ac:dyDescent="0.2">
      <c r="A91" s="17"/>
      <c r="B91" s="17"/>
      <c r="C91" s="17"/>
      <c r="D91" s="17"/>
      <c r="E91" s="17"/>
      <c r="F91" s="17"/>
      <c r="G91" s="17"/>
      <c r="H91" s="17"/>
      <c r="I91" s="17"/>
      <c r="J91" s="17"/>
      <c r="K91" s="17"/>
      <c r="L91" s="17"/>
      <c r="M91" s="17"/>
    </row>
    <row r="92" spans="1:13" x14ac:dyDescent="0.2">
      <c r="A92" s="17"/>
      <c r="B92" s="17"/>
      <c r="C92" s="17"/>
      <c r="D92" s="17"/>
      <c r="E92" s="17"/>
      <c r="F92" s="17"/>
      <c r="G92" s="17"/>
      <c r="H92" s="17"/>
      <c r="I92" s="17"/>
      <c r="J92" s="17"/>
      <c r="K92" s="17"/>
      <c r="L92" s="17"/>
      <c r="M92" s="17"/>
    </row>
    <row r="93" spans="1:13" x14ac:dyDescent="0.2">
      <c r="A93" s="17"/>
      <c r="B93" s="17"/>
      <c r="C93" s="17"/>
      <c r="D93" s="17"/>
      <c r="E93" s="17"/>
      <c r="F93" s="17"/>
      <c r="G93" s="17"/>
      <c r="H93" s="17"/>
      <c r="I93" s="17"/>
      <c r="J93" s="17"/>
      <c r="K93" s="17"/>
      <c r="L93" s="17"/>
      <c r="M93" s="17"/>
    </row>
    <row r="94" spans="1:13" x14ac:dyDescent="0.2">
      <c r="A94" s="17"/>
      <c r="B94" s="17"/>
      <c r="C94" s="17"/>
      <c r="D94" s="17"/>
      <c r="E94" s="17"/>
      <c r="F94" s="17"/>
      <c r="G94" s="17"/>
      <c r="H94" s="17"/>
      <c r="I94" s="17"/>
      <c r="J94" s="17"/>
      <c r="K94" s="17"/>
      <c r="L94" s="17"/>
      <c r="M94" s="17"/>
    </row>
    <row r="95" spans="1:13" x14ac:dyDescent="0.2">
      <c r="A95" s="17"/>
      <c r="B95" s="17"/>
      <c r="C95" s="17"/>
      <c r="D95" s="17"/>
      <c r="E95" s="17"/>
      <c r="F95" s="17"/>
      <c r="G95" s="17"/>
      <c r="H95" s="17"/>
      <c r="I95" s="17"/>
      <c r="J95" s="17"/>
      <c r="K95" s="17"/>
      <c r="L95" s="17"/>
      <c r="M95" s="17"/>
    </row>
    <row r="96" spans="1:13" x14ac:dyDescent="0.2">
      <c r="A96" s="17"/>
      <c r="B96" s="17"/>
      <c r="C96" s="17"/>
      <c r="D96" s="17"/>
      <c r="E96" s="17"/>
      <c r="F96" s="17"/>
      <c r="G96" s="17"/>
      <c r="H96" s="17"/>
      <c r="I96" s="17"/>
      <c r="J96" s="17"/>
      <c r="K96" s="17"/>
      <c r="L96" s="17"/>
      <c r="M96" s="17"/>
    </row>
    <row r="97" spans="1:13" x14ac:dyDescent="0.2">
      <c r="A97" s="17"/>
      <c r="B97" s="17"/>
      <c r="C97" s="17"/>
      <c r="D97" s="17"/>
      <c r="E97" s="17"/>
      <c r="F97" s="17"/>
      <c r="G97" s="17"/>
      <c r="H97" s="17"/>
      <c r="I97" s="17"/>
      <c r="J97" s="17"/>
      <c r="K97" s="17"/>
      <c r="L97" s="17"/>
      <c r="M97" s="17"/>
    </row>
    <row r="98" spans="1:13" x14ac:dyDescent="0.2">
      <c r="A98" s="17"/>
      <c r="B98" s="17"/>
      <c r="C98" s="17"/>
      <c r="D98" s="17"/>
      <c r="E98" s="17"/>
      <c r="F98" s="17"/>
      <c r="G98" s="17"/>
      <c r="H98" s="17"/>
      <c r="I98" s="17"/>
      <c r="J98" s="17"/>
      <c r="K98" s="17"/>
      <c r="L98" s="17"/>
      <c r="M98" s="17"/>
    </row>
    <row r="99" spans="1:13" x14ac:dyDescent="0.2">
      <c r="A99" s="17"/>
      <c r="B99" s="17"/>
      <c r="C99" s="17"/>
      <c r="D99" s="17"/>
      <c r="E99" s="17"/>
      <c r="F99" s="17"/>
      <c r="G99" s="17"/>
      <c r="H99" s="17"/>
      <c r="I99" s="17"/>
      <c r="J99" s="17"/>
      <c r="K99" s="17"/>
      <c r="L99" s="17"/>
      <c r="M99" s="17"/>
    </row>
    <row r="100" spans="1:13" x14ac:dyDescent="0.2">
      <c r="A100" s="17"/>
      <c r="B100" s="17"/>
      <c r="C100" s="17"/>
      <c r="D100" s="17"/>
      <c r="E100" s="17"/>
      <c r="F100" s="17"/>
      <c r="G100" s="17"/>
      <c r="H100" s="17"/>
      <c r="I100" s="17"/>
      <c r="J100" s="17"/>
      <c r="K100" s="17"/>
      <c r="L100" s="17"/>
      <c r="M100" s="17"/>
    </row>
  </sheetData>
  <sheetProtection algorithmName="SHA-512" hashValue="T70AUawxpCP/6uGx5/CWABF7ITio9+RyuK23pX+UuCbVoRv0cEvoOikTN77k3NyI9ev0ZFW6rppU0HnvZtl3DA==" saltValue="OKcXGU/sHFRV4F0arJ39cg==" spinCount="100000" sheet="1" objects="1" scenarios="1"/>
  <autoFilter ref="B25:M25" xr:uid="{43F7C165-6C4C-4EFD-AF29-C47265F9CAA1}">
    <filterColumn colId="2" showButton="0"/>
    <filterColumn colId="3" showButton="0"/>
  </autoFilter>
  <dataConsolidate/>
  <mergeCells count="63">
    <mergeCell ref="D54:F54"/>
    <mergeCell ref="D55:F55"/>
    <mergeCell ref="D56:F56"/>
    <mergeCell ref="B48:B56"/>
    <mergeCell ref="C48:C50"/>
    <mergeCell ref="D48:F48"/>
    <mergeCell ref="D49:F49"/>
    <mergeCell ref="D50:F50"/>
    <mergeCell ref="C51:C53"/>
    <mergeCell ref="D51:F51"/>
    <mergeCell ref="D52:F52"/>
    <mergeCell ref="D53:F53"/>
    <mergeCell ref="C54:C55"/>
    <mergeCell ref="D40:F40"/>
    <mergeCell ref="D41:F41"/>
    <mergeCell ref="D42:F42"/>
    <mergeCell ref="B43:B47"/>
    <mergeCell ref="C43:C44"/>
    <mergeCell ref="D43:F43"/>
    <mergeCell ref="D44:F44"/>
    <mergeCell ref="D45:F45"/>
    <mergeCell ref="D46:F46"/>
    <mergeCell ref="D47:F47"/>
    <mergeCell ref="D33:F33"/>
    <mergeCell ref="B34:B42"/>
    <mergeCell ref="C34:C38"/>
    <mergeCell ref="D34:F34"/>
    <mergeCell ref="D35:F35"/>
    <mergeCell ref="D36:F36"/>
    <mergeCell ref="D37:F37"/>
    <mergeCell ref="D38:F38"/>
    <mergeCell ref="C39:C40"/>
    <mergeCell ref="D39:F39"/>
    <mergeCell ref="B26:B33"/>
    <mergeCell ref="C26:C28"/>
    <mergeCell ref="D26:F26"/>
    <mergeCell ref="D27:F27"/>
    <mergeCell ref="D28:F28"/>
    <mergeCell ref="D29:F29"/>
    <mergeCell ref="H13:I13"/>
    <mergeCell ref="H14:I14"/>
    <mergeCell ref="A11:M11"/>
    <mergeCell ref="C30:C32"/>
    <mergeCell ref="D30:F30"/>
    <mergeCell ref="D31:F31"/>
    <mergeCell ref="D32:F32"/>
    <mergeCell ref="B19:C19"/>
    <mergeCell ref="B20:C20"/>
    <mergeCell ref="D25:F25"/>
    <mergeCell ref="A23:M23"/>
    <mergeCell ref="B18:C18"/>
    <mergeCell ref="B13:C13"/>
    <mergeCell ref="B14:C14"/>
    <mergeCell ref="B15:C15"/>
    <mergeCell ref="B17:C17"/>
    <mergeCell ref="B21:C21"/>
    <mergeCell ref="D22:F22"/>
    <mergeCell ref="B4:G4"/>
    <mergeCell ref="B6:D6"/>
    <mergeCell ref="B7:C7"/>
    <mergeCell ref="F7:F9"/>
    <mergeCell ref="B8:C8"/>
    <mergeCell ref="B9:C9"/>
  </mergeCells>
  <conditionalFormatting sqref="G25:G29 G32:G56">
    <cfRule type="expression" dxfId="327" priority="1">
      <formula>$F$7="Performance Framework"</formula>
    </cfRule>
  </conditionalFormatting>
  <conditionalFormatting sqref="G30">
    <cfRule type="expression" dxfId="326" priority="915">
      <formula>$F$7="Performance Framework"</formula>
    </cfRule>
  </conditionalFormatting>
  <conditionalFormatting sqref="G31">
    <cfRule type="expression" dxfId="325" priority="914">
      <formula>$F$7="Performance Framework"</formula>
    </cfRule>
  </conditionalFormatting>
  <conditionalFormatting sqref="L25:M56">
    <cfRule type="expression" dxfId="324" priority="3">
      <formula>OR($F$7="Performance Framework", $F$7="Reviewer / Coordinating Mechanism")</formula>
    </cfRule>
  </conditionalFormatting>
  <conditionalFormatting sqref="H25:J56">
    <cfRule type="expression" dxfId="323" priority="821">
      <formula>$F$7="Performance Framework"</formula>
    </cfRule>
  </conditionalFormatting>
  <conditionalFormatting sqref="K25">
    <cfRule type="expression" dxfId="322" priority="517">
      <formula>$F$7="Performance Framework"</formula>
    </cfRule>
    <cfRule type="expression" dxfId="321" priority="518">
      <formula>$F$7="Reviewer / Coordinating Mechanism"</formula>
    </cfRule>
    <cfRule type="expression" dxfId="320" priority="519">
      <formula>$K$26=""</formula>
    </cfRule>
  </conditionalFormatting>
  <conditionalFormatting sqref="H13:J14">
    <cfRule type="expression" dxfId="319" priority="315">
      <formula>OR($D$15="",$D$15="Yes")</formula>
    </cfRule>
  </conditionalFormatting>
  <conditionalFormatting sqref="J13">
    <cfRule type="expression" dxfId="318" priority="320">
      <formula>AND(OR(SUMPRODUCT(--(G26:G56&lt;&gt;""))=31, SUMPRODUCT(--L26:L56&lt;&gt;""))=31, J17="", D15= "Yes")</formula>
    </cfRule>
  </conditionalFormatting>
  <conditionalFormatting sqref="B21:D21 B17:C20">
    <cfRule type="expression" dxfId="317" priority="308">
      <formula>OR($D$15="",$D$15="No")</formula>
    </cfRule>
  </conditionalFormatting>
  <conditionalFormatting sqref="D21">
    <cfRule type="expression" dxfId="316" priority="309">
      <formula>AND($D$14="No",$D$15="Yes", $D$21="")</formula>
    </cfRule>
  </conditionalFormatting>
  <conditionalFormatting sqref="B21:D21">
    <cfRule type="expression" dxfId="315" priority="307">
      <formula>AND($D$14="Yes",$D$15="Yes")</formula>
    </cfRule>
  </conditionalFormatting>
  <conditionalFormatting sqref="D17:D19">
    <cfRule type="expression" dxfId="314" priority="202">
      <formula>OR($D$15="",$D$15="No")</formula>
    </cfRule>
  </conditionalFormatting>
  <conditionalFormatting sqref="D17">
    <cfRule type="expression" dxfId="313" priority="206">
      <formula>AND(OR(SUMPRODUCT(--($G$26:$G$56&lt;&gt;""))=31, SUMPRODUCT(--$L$26:$L$56&lt;&gt;""))=31, $D$17="", OR($D$15="", $D$15= "Yes"))</formula>
    </cfRule>
  </conditionalFormatting>
  <conditionalFormatting sqref="D18">
    <cfRule type="expression" dxfId="312" priority="204">
      <formula>AND(OR(SUMPRODUCT(--($G$26:$G$56&lt;&gt;""))=31, SUMPRODUCT(--$L$26:$L$56&lt;&gt;""))=31, $D$18="", OR($D$15="", $D$15= "Yes"))</formula>
    </cfRule>
  </conditionalFormatting>
  <conditionalFormatting sqref="D19">
    <cfRule type="expression" dxfId="311" priority="203">
      <formula>AND(OR(SUMPRODUCT(--($G$26:$G$56&lt;&gt;""))=31, SUMPRODUCT(--$L$26:$L$56&lt;&gt;""))=31, $D$19="", OR($D$15="", $D$15= "Yes"))</formula>
    </cfRule>
  </conditionalFormatting>
  <conditionalFormatting sqref="D20">
    <cfRule type="expression" dxfId="310" priority="200">
      <formula>OR($D$15="",$D$15="No")</formula>
    </cfRule>
  </conditionalFormatting>
  <conditionalFormatting sqref="D13">
    <cfRule type="expression" dxfId="309" priority="197">
      <formula>"'AND(OR(SUMPRODUCT(--($G$26:$G$56&lt;&gt;""""))=31, SUMPRODUCT(--$L$26:$L$56&lt;&gt;""""))=31, $D$13="""")"</formula>
    </cfRule>
  </conditionalFormatting>
  <conditionalFormatting sqref="K26:K56">
    <cfRule type="expression" dxfId="308" priority="5">
      <formula>$F$7="Performance Framework"</formula>
    </cfRule>
    <cfRule type="expression" dxfId="307" priority="6">
      <formula>$F$7="Reviewer / Coordinating Mechanism"</formula>
    </cfRule>
    <cfRule type="expression" dxfId="306" priority="7">
      <formula>$K$26=""</formula>
    </cfRule>
  </conditionalFormatting>
  <conditionalFormatting sqref="K27">
    <cfRule type="expression" dxfId="305" priority="37">
      <formula>OR(ISNUMBER(SEARCH("objective = 3     Preliminary score = 3",$K$27)),ISNUMBER(SEARCH("objective = 3     Preliminary score = 2",$K$27)),ISNUMBER(SEARCH("objective = 2     Preliminary score = 3",$K$27)),ISNUMBER(SEARCH("objective = 2     Preliminary score = 2",$K$27)),ISNUMBER(SEARCH("Old score = 3          Preliminary score = 3",$K$27)),ISNUMBER(SEARCH("Old score = 3          Preliminary score = 2",$K$27)),ISNUMBER(SEARCH("Old score = 2          Preliminary score = 3",$K$27)),ISNUMBER(SEARCH("Old score = 2          Preliminary score = 2",$K$27)))</formula>
    </cfRule>
    <cfRule type="expression" dxfId="304" priority="68">
      <formula>OR(ISNUMBER(SEARCH("objective = 3     Preliminary score = 1", $K$27)),ISNUMBER(SEARCH("objective = 3     Preliminary score = 0", $K$27)),ISNUMBER(SEARCH("objective = 1     Preliminary score = 2", $K$27)),ISNUMBER(SEARCH("objective = 1     Preliminary score = 3", $K$27)),ISNUMBER(SEARCH("objective = 0     Preliminary score = 1", $K$27)),ISNUMBER(SEARCH("objective = 0     Preliminary score = 2", $K$27)),ISNUMBER(SEARCH("objective = 0     Preliminary score = 3", $K$27)),ISNUMBER(SEARCH("Old score = 3          Preliminary score = 1", $K$27)),ISNUMBER(SEARCH("Old score = 3          Preliminary score = 0", $K$27)),ISNUMBER(SEARCH("Old score = 1          Preliminary score = 2", $K$27)),ISNUMBER(SEARCH("Old score = 1          Preliminary score = 3", $K$27)),ISNUMBER(SEARCH("Old score = 0          Preliminary score = 1", $K$27)),ISNUMBER(SEARCH("Old score = 0          Preliminary score = 2", $K$27)),ISNUMBER(SEARCH("Old score = 0          Preliminary score = 3", $K$27)))</formula>
    </cfRule>
    <cfRule type="expression" dxfId="303" priority="97">
      <formula>OR(ISNUMBER(SEARCH("objective = 2     Preliminary score = 1", $K$27)),ISNUMBER(SEARCH("objective = 2     Preliminary score = 0", $K$27)),ISNUMBER(SEARCH("objective = 1     Preliminary score = 1", $K$27)),ISNUMBER(SEARCH("objective = 1     Preliminary score = 0", $K$27)),ISNUMBER(SEARCH("objective = 0     Preliminary score = 0", $K$27)),ISNUMBER(SEARCH("Old score = 2          Preliminary score = 1", $K$27)),ISNUMBER(SEARCH("Old score = 2          Preliminary score = 0", $K$27)),ISNUMBER(SEARCH("Old score = 1          Preliminary score = 1", $K$27)),ISNUMBER(SEARCH("score = 1          Preliminary score = 0", $K$27)),ISNUMBER(SEARCH("score = 0          Preliminary score = 0", $K$27)))</formula>
    </cfRule>
  </conditionalFormatting>
  <conditionalFormatting sqref="K31">
    <cfRule type="expression" dxfId="302" priority="33">
      <formula>OR(ISNUMBER(SEARCH("objective = 3     Preliminary score = 3",$K$31)),ISNUMBER(SEARCH("objective = 3     Preliminary score = 2",$K$31)),ISNUMBER(SEARCH("objective = 2     Preliminary score = 3",$K$31)),ISNUMBER(SEARCH("objective = 2     Preliminary score = 2",$K$31)),ISNUMBER(SEARCH("Old score = 3          Preliminary score = 3",$K$31)),ISNUMBER(SEARCH("Old score = 3          Preliminary score = 2",$K$31)),ISNUMBER(SEARCH("Old score = 2          Preliminary score = 3",$K$31)),ISNUMBER(SEARCH("Old score = 2          Preliminary score = 2",$K$31)))</formula>
    </cfRule>
    <cfRule type="expression" dxfId="301" priority="64">
      <formula>OR(ISNUMBER(SEARCH("objective = 3     Preliminary score = 1", $K$31)),ISNUMBER(SEARCH("objective = 3     Preliminary score = 0", $K$31)),ISNUMBER(SEARCH("objective = 1     Preliminary score = 2", $K$31)),ISNUMBER(SEARCH("objective = 1     Preliminary score = 3", $K$31)),ISNUMBER(SEARCH("objective = 0     Preliminary score = 1", $K$31)),ISNUMBER(SEARCH("objective = 0     Preliminary score = 2", $K$31)),ISNUMBER(SEARCH("objective = 0     Preliminary score = 3", $K$31)),ISNUMBER(SEARCH("Old score = 3          Preliminary score = 1", $K$31)),ISNUMBER(SEARCH("Old score = 3          Preliminary score = 0", $K$31)),ISNUMBER(SEARCH("Old score = 1          Preliminary score = 2", $K$31)),ISNUMBER(SEARCH("Old score = 1          Preliminary score = 3", $K$31)),ISNUMBER(SEARCH("Old score = 0          Preliminary score = 1", $K$31)),ISNUMBER(SEARCH("Old score = 0          Preliminary score = 2", $K$31)),ISNUMBER(SEARCH("Old score = 0          Preliminary score = 3", $K$31)))</formula>
    </cfRule>
    <cfRule type="expression" dxfId="300" priority="95">
      <formula>OR(ISNUMBER(SEARCH("objective = 2     Preliminary score = 1", $K$31)),ISNUMBER(SEARCH("objective = 2     Preliminary score = 0", $K$31)),ISNUMBER(SEARCH("objective = 1     Preliminary score = 1", $K$31)),ISNUMBER(SEARCH("objective = 1     Preliminary score = 0", $K$31)),ISNUMBER(SEARCH("objective = 0     Preliminary score = 0", $K$31)),ISNUMBER(SEARCH("Old score = 2          Preliminary score = 1", $K$31)),ISNUMBER(SEARCH("Old score = 2          Preliminary score = 0", $K$31)),ISNUMBER(SEARCH("Old score = 1          Preliminary score = 1", $K$31)),ISNUMBER(SEARCH("score = 1          Preliminary score = 0", $K$31)),ISNUMBER(SEARCH("score = 0          Preliminary score = 0", $K$31)))</formula>
    </cfRule>
  </conditionalFormatting>
  <conditionalFormatting sqref="K36">
    <cfRule type="expression" dxfId="299" priority="28">
      <formula>OR(ISNUMBER(SEARCH("objective = 3     Preliminary score = 3",$K$36)),ISNUMBER(SEARCH("objective = 3     Preliminary score = 2",$K$36)),ISNUMBER(SEARCH("objective = 2     Preliminary score = 3",$K$36)),ISNUMBER(SEARCH("objective = 2     Preliminary score = 2",$K$36)),ISNUMBER(SEARCH("Old score = 3          Preliminary score = 3",$K$36)),ISNUMBER(SEARCH("Old score = 3          Preliminary score = 2",$K$36)),ISNUMBER(SEARCH("Old score = 2          Preliminary score = 3",$K$36)),ISNUMBER(SEARCH("Old score = 2          Preliminary score = 2",$K$36)))</formula>
    </cfRule>
    <cfRule type="expression" dxfId="298" priority="59">
      <formula>OR(ISNUMBER(SEARCH("objective = 3     Preliminary score = 1", $K$36)),ISNUMBER(SEARCH("objective = 3     Preliminary score = 0", $K$36)),ISNUMBER(SEARCH("objective = 1     Preliminary score = 2", $K$36)),ISNUMBER(SEARCH("objective = 1     Preliminary score = 3", $K$36)),ISNUMBER(SEARCH("objective = 0     Preliminary score = 1", $K$36)),ISNUMBER(SEARCH("objective = 0     Preliminary score = 2", $K$36)),ISNUMBER(SEARCH("objective = 0     Preliminary score = 3", $K$36)),ISNUMBER(SEARCH("Old score = 3          Preliminary score = 1", $K$36)),ISNUMBER(SEARCH("Old score = 3          Preliminary score = 0", $K$36)),ISNUMBER(SEARCH("Old score = 1          Preliminary score = 2", $K$36)),ISNUMBER(SEARCH("Old score = 1          Preliminary score = 3", $K$36)),ISNUMBER(SEARCH("Old score = 0          Preliminary score = 1", $K$36)),ISNUMBER(SEARCH("Old score = 0          Preliminary score = 2", $K$36)),ISNUMBER(SEARCH("Old score = 0          Preliminary score = 3", $K$36)))</formula>
    </cfRule>
    <cfRule type="expression" dxfId="297" priority="90">
      <formula>OR(ISNUMBER(SEARCH("objective = 2     Preliminary score = 1", $K$36)),ISNUMBER(SEARCH("objective = 2     Preliminary score = 0", $K$36)),ISNUMBER(SEARCH("objective = 1     Preliminary score = 1", $K$36)),ISNUMBER(SEARCH("objective = 1     Preliminary score = 0", $K$36)),ISNUMBER(SEARCH("objective = 0     Preliminary score = 0", $K$36)),ISNUMBER(SEARCH("Old score = 2          Preliminary score = 1", $K$36)),ISNUMBER(SEARCH("Old score = 2          Preliminary score = 0", $K$36)),ISNUMBER(SEARCH("Old score = 1          Preliminary score = 1", $K$36)),ISNUMBER(SEARCH("score = 1          Preliminary score = 0", $K$36)),ISNUMBER(SEARCH("score = 0          Preliminary score = 0", $K$36)))</formula>
    </cfRule>
  </conditionalFormatting>
  <conditionalFormatting sqref="K37">
    <cfRule type="expression" dxfId="296" priority="27">
      <formula>OR(ISNUMBER(SEARCH("objective = 3     Preliminary score = 3",$K$37)),ISNUMBER(SEARCH("objective = 3     Preliminary score = 2",$K$37)),ISNUMBER(SEARCH("objective = 2     Preliminary score = 3",$K$37)),ISNUMBER(SEARCH("objective = 2     Preliminary score = 2",$K$37)),ISNUMBER(SEARCH("Old score = 3          Preliminary score = 3",$K$37)),ISNUMBER(SEARCH("Old score = 3          Preliminary score = 2",$K$37)),ISNUMBER(SEARCH("Old score = 2          Preliminary score = 3",$K$37)),ISNUMBER(SEARCH("Old score = 2          Preliminary score = 2",$K$37)))</formula>
    </cfRule>
    <cfRule type="expression" dxfId="295" priority="58">
      <formula>OR(ISNUMBER(SEARCH("objective = 3     Preliminary score = 1", $K$37)),ISNUMBER(SEARCH("objective = 3     Preliminary score = 0", $K$37)),ISNUMBER(SEARCH("objective = 1     Preliminary score = 2", $K$37)),ISNUMBER(SEARCH("objective = 1     Preliminary score = 3", $K$37)),ISNUMBER(SEARCH("objective = 0     Preliminary score = 1", $K$37)),ISNUMBER(SEARCH("objective = 0     Preliminary score = 2", $K$37)),ISNUMBER(SEARCH("objective = 0     Preliminary score = 3", $K$37)),ISNUMBER(SEARCH("Old score = 3          Preliminary score = 1", $K$37)),ISNUMBER(SEARCH("Old score = 3          Preliminary score = 0", $K$37)),ISNUMBER(SEARCH("Old score = 1          Preliminary score = 2", $K$37)),ISNUMBER(SEARCH("Old score = 1          Preliminary score = 3", $K$37)),ISNUMBER(SEARCH("Old score = 0          Preliminary score = 1", $K$37)),ISNUMBER(SEARCH("Old score = 0          Preliminary score = 2", $K$37)),ISNUMBER(SEARCH("Old score = 0          Preliminary score = 3", $K$37)))</formula>
    </cfRule>
    <cfRule type="expression" dxfId="294" priority="89">
      <formula>OR(ISNUMBER(SEARCH("objective = 2     Preliminary score = 1", $K$37)),ISNUMBER(SEARCH("objective = 2     Preliminary score = 0", $K$37)),ISNUMBER(SEARCH("objective = 1     Preliminary score = 1", $K$37)),ISNUMBER(SEARCH("objective = 1     Preliminary score = 0", $K$37)),ISNUMBER(SEARCH("objective = 0     Preliminary score = 0", $K$37)),ISNUMBER(SEARCH("Old score = 2          Preliminary score = 1", $K$37)),ISNUMBER(SEARCH("Old score = 2          Preliminary score = 0", $K$37)),ISNUMBER(SEARCH("Old score = 1          Preliminary score = 1", $K$37)),ISNUMBER(SEARCH("score = 1          Preliminary score = 0", $K$37)),ISNUMBER(SEARCH("score = 0          Preliminary score = 0", $K$37)))</formula>
    </cfRule>
  </conditionalFormatting>
  <conditionalFormatting sqref="K52">
    <cfRule type="expression" dxfId="293" priority="12">
      <formula>OR(ISNUMBER(SEARCH("objective = 3     Preliminary score = 3",$K$52)),ISNUMBER(SEARCH("objective = 3     Preliminary score = 2",$K$52)),ISNUMBER(SEARCH("objective = 2     Preliminary score = 3",$K$52)),ISNUMBER(SEARCH("objective = 2     Preliminary score = 2",$K$52)),ISNUMBER(SEARCH("Old score = 3          Preliminary score = 3",$K$52)),ISNUMBER(SEARCH("Old score = 3          Preliminary score = 2",$K$52)),ISNUMBER(SEARCH("Old score = 2          Preliminary score = 3",$K$52)),ISNUMBER(SEARCH("Old score = 2          Preliminary score = 2",$K$52)))</formula>
    </cfRule>
    <cfRule type="expression" dxfId="292" priority="43">
      <formula>OR(ISNUMBER(SEARCH("objective = 3     Preliminary score = 1", $K$52)),ISNUMBER(SEARCH("objective = 3     Preliminary score = 0", $K$52)),ISNUMBER(SEARCH("objective = 1     Preliminary score = 2", $K$52)),ISNUMBER(SEARCH("objective = 1     Preliminary score = 3", $K$52)),ISNUMBER(SEARCH("objective = 0     Preliminary score = 1", $K$52)),ISNUMBER(SEARCH("objective = 0     Preliminary score = 2", $K$52)),ISNUMBER(SEARCH("objective = 0     Preliminary score = 3", $K$52)),ISNUMBER(SEARCH("Old score = 3          Preliminary score = 1", $K$52)),ISNUMBER(SEARCH("Old score = 3          Preliminary score = 0", $K$52)),ISNUMBER(SEARCH("Old score = 1          Preliminary score = 2", $K$52)),ISNUMBER(SEARCH("Old score = 1          Preliminary score = 3", $K$52)),ISNUMBER(SEARCH("Old score = 0          Preliminary score = 1", $K$52)),ISNUMBER(SEARCH("Old score = 0          Preliminary score = 2", $K$52)),ISNUMBER(SEARCH("Old score = 0          Preliminary score = 3", $K$52)))</formula>
    </cfRule>
    <cfRule type="expression" dxfId="291" priority="74">
      <formula>OR(ISNUMBER(SEARCH("objective = 2     Preliminary score = 1", $K$52)),ISNUMBER(SEARCH("objective = 2     Preliminary score = 0", $K$52)),ISNUMBER(SEARCH("objective = 1     Preliminary score = 1", $K$52)),ISNUMBER(SEARCH("objective = 1     Preliminary score = 0", $K$52)),ISNUMBER(SEARCH("objective = 0     Preliminary score = 0", $K$52)),ISNUMBER(SEARCH("Old score = 2          Preliminary score = 1", $K$52)),ISNUMBER(SEARCH("Old score = 2          Preliminary score = 0", $K$52)),ISNUMBER(SEARCH("Old score = 1          Preliminary score = 1", $K$52)),ISNUMBER(SEARCH("score = 1          Preliminary score = 0", $K$52)),ISNUMBER(SEARCH("score = 0          Preliminary score = 0", $K$52)))</formula>
    </cfRule>
  </conditionalFormatting>
  <conditionalFormatting sqref="K56">
    <cfRule type="expression" dxfId="290" priority="8">
      <formula>OR(ISNUMBER(SEARCH("objective = 3     Preliminary score = 3",$K$56)),ISNUMBER(SEARCH("objective = 3     Preliminary score = 2",$K$56)),ISNUMBER(SEARCH("objective = 2     Preliminary score = 3",$K$56)),ISNUMBER(SEARCH("objective = 2     Preliminary score = 2",$K$56)),ISNUMBER(SEARCH("Old score = 3          Preliminary score = 3",$K$56)),ISNUMBER(SEARCH("Old score = 3          Preliminary score = 2",$K$56)),ISNUMBER(SEARCH("Old score = 2          Preliminary score = 3",$K$56)),ISNUMBER(SEARCH("Old score = 2          Preliminary score = 2",$K$56)))</formula>
    </cfRule>
    <cfRule type="expression" dxfId="289" priority="39">
      <formula>OR(ISNUMBER(SEARCH("objective = 3     Preliminary score = 1", $K$56)),ISNUMBER(SEARCH("objective = 3     Preliminary score = 0", $K$56)),ISNUMBER(SEARCH("objective = 1     Preliminary score = 2", $K$56)),ISNUMBER(SEARCH("objective = 1     Preliminary score = 3", $K$56)),ISNUMBER(SEARCH("objective = 0     Preliminary score = 1", $K$56)),ISNUMBER(SEARCH("objective = 0     Preliminary score = 2", $K$56)),ISNUMBER(SEARCH("objective = 0     Preliminary score = 3", $K$56)),ISNUMBER(SEARCH("Old score = 3          Preliminary score = 1", $K$56)),ISNUMBER(SEARCH("Old score = 3          Preliminary score = 0", $K$56)),ISNUMBER(SEARCH("Old score = 1          Preliminary score = 2", $K$56)),ISNUMBER(SEARCH("Old score = 1          Preliminary score = 3", $K$56)),ISNUMBER(SEARCH("Old score = 0          Preliminary score = 1", $K$56)),ISNUMBER(SEARCH("Old score = 0          Preliminary score = 2", $K$56)),ISNUMBER(SEARCH("Old score = 0          Preliminary score = 3", $K$56)))</formula>
    </cfRule>
    <cfRule type="expression" dxfId="288" priority="70">
      <formula>OR(ISNUMBER(SEARCH("objective = 2     Preliminary score = 1", $K$56)),ISNUMBER(SEARCH("objective = 2     Preliminary score = 0", $K$56)),ISNUMBER(SEARCH("objective = 1     Preliminary score = 1", $K$56)),ISNUMBER(SEARCH("objective = 1     Preliminary score = 0", $K$56)),ISNUMBER(SEARCH("objective = 0     Preliminary score = 0", $K$56)),ISNUMBER(SEARCH("Old score = 2          Preliminary score = 1", $K$56)),ISNUMBER(SEARCH("Old score = 2          Preliminary score = 0", $K$56)),ISNUMBER(SEARCH("Old score = 1          Preliminary score = 1", $K$56)),ISNUMBER(SEARCH("score = 1          Preliminary score = 0", $K$56)),ISNUMBER(SEARCH("score = 0          Preliminary score = 0", $K$56)))</formula>
    </cfRule>
  </conditionalFormatting>
  <conditionalFormatting sqref="K30">
    <cfRule type="expression" dxfId="287" priority="34">
      <formula>OR(ISNUMBER(SEARCH("objective = 3     Preliminary score = 3",$K$30)),ISNUMBER(SEARCH("objective = 3     Preliminary score = 2",$K$30)),ISNUMBER(SEARCH("objective = 2     Preliminary score = 3",$K$30)),ISNUMBER(SEARCH("objective = 2     Preliminary score = 2",$K$30)),ISNUMBER(SEARCH("Old score = 3          Preliminary score = 3",$K$30)),ISNUMBER(SEARCH("Old score = 3          Preliminary score = 2",$K$30)),ISNUMBER(SEARCH("Old score = 2          Preliminary score = 3",$K$30)),ISNUMBER(SEARCH("Old score = 2          Preliminary score = 2",$K$30)))</formula>
    </cfRule>
    <cfRule type="expression" dxfId="286" priority="65">
      <formula>OR(ISNUMBER(SEARCH("objective = 3     Preliminary score = 1", $K$30)),ISNUMBER(SEARCH("objective = 3     Preliminary score = 0", $K$30)),ISNUMBER(SEARCH("objective = 1     Preliminary score = 2", $K$30)),ISNUMBER(SEARCH("objective = 1     Preliminary score = 3", $K$30)),ISNUMBER(SEARCH("objective = 0     Preliminary score = 1", $K$30)),ISNUMBER(SEARCH("objective = 0     Preliminary score = 2", $K$30)),ISNUMBER(SEARCH("objective = 0     Preliminary score = 3", $K$30)),ISNUMBER(SEARCH("Old score = 3          Preliminary score = 1", $K$30)),ISNUMBER(SEARCH("Old score = 3          Preliminary score = 0", $K$30)),ISNUMBER(SEARCH("Old score = 1          Preliminary score = 2", $K$30)),ISNUMBER(SEARCH("Old score = 1          Preliminary score = 3", $K$30)),ISNUMBER(SEARCH("Old score = 0          Preliminary score = 1", $K$30)),ISNUMBER(SEARCH("Old score = 0          Preliminary score = 2", $K$30)),ISNUMBER(SEARCH("Old score = 0          Preliminary score = 3", $K$30)))</formula>
    </cfRule>
    <cfRule type="expression" dxfId="285" priority="96">
      <formula>OR(ISNUMBER(SEARCH("objective = 2     Preliminary score = 1", $K$30)),ISNUMBER(SEARCH("objective = 2     Preliminary score = 0", $K$30)),ISNUMBER(SEARCH("objective = 1     Preliminary score = 1", $K$30)),ISNUMBER(SEARCH("objective = 1     Preliminary score = 0", $K$30)),ISNUMBER(SEARCH("objective = 0     Preliminary score = 0", $K$30)),ISNUMBER(SEARCH("Old score = 2          Preliminary score = 1", $K$30)),ISNUMBER(SEARCH("Old score = 2          Preliminary score = 0", $K$30)),ISNUMBER(SEARCH("Old score = 1          Preliminary score = 1", $K$30)),ISNUMBER(SEARCH("score = 1          Preliminary score = 0", $K$30)),ISNUMBER(SEARCH("score = 0          Preliminary score = 0", $K$30)))</formula>
    </cfRule>
  </conditionalFormatting>
  <conditionalFormatting sqref="K34">
    <cfRule type="expression" dxfId="284" priority="30">
      <formula>OR(ISNUMBER(SEARCH("objective = 3     Preliminary score = 3",$K$34)),ISNUMBER(SEARCH("objective = 3     Preliminary score = 2",$K$34)),ISNUMBER(SEARCH("objective = 2     Preliminary score = 3",$K$34)),ISNUMBER(SEARCH("objective = 2     Preliminary score = 2",$K$34)),ISNUMBER(SEARCH("Old score = 3          Preliminary score = 3",$K$34)),ISNUMBER(SEARCH("Old score = 3          Preliminary score = 2",$K$34)),ISNUMBER(SEARCH("Old score = 2          Preliminary score = 3",$K$34)),ISNUMBER(SEARCH("Old score = 2          Preliminary score = 2",$K$34)))</formula>
    </cfRule>
    <cfRule type="expression" dxfId="283" priority="61">
      <formula>OR(ISNUMBER(SEARCH("objective = 3     Preliminary score = 1", $K$34)),ISNUMBER(SEARCH("objective = 3     Preliminary score = 0", $K$34)),ISNUMBER(SEARCH("objective = 1     Preliminary score = 2", $K$34)),ISNUMBER(SEARCH("objective = 1     Preliminary score = 3", $K$34)),ISNUMBER(SEARCH("objective = 0     Preliminary score = 1", $K$34)),ISNUMBER(SEARCH("objective = 0     Preliminary score = 2", $K$34)),ISNUMBER(SEARCH("objective = 0     Preliminary score = 3", $K$34)),ISNUMBER(SEARCH("Old score = 3          Preliminary score = 1", $K$34)),ISNUMBER(SEARCH("Old score = 3          Preliminary score = 0", $K$34)),ISNUMBER(SEARCH("Old score = 1          Preliminary score = 2", $K$34)),ISNUMBER(SEARCH("Old score = 1          Preliminary score = 3", $K$34)),ISNUMBER(SEARCH("Old score = 0          Preliminary score = 1", $K$34)),ISNUMBER(SEARCH("Old score = 0          Preliminary score = 2", $K$34)),ISNUMBER(SEARCH("Old score = 0          Preliminary score = 3", $K$34)))</formula>
    </cfRule>
    <cfRule type="expression" dxfId="282" priority="92">
      <formula>OR(ISNUMBER(SEARCH("objective = 2     Preliminary score = 1", $K$34)),ISNUMBER(SEARCH("objective = 2     Preliminary score = 0", $K$34)),ISNUMBER(SEARCH("objective = 1     Preliminary score = 1", $K$34)),ISNUMBER(SEARCH("objective = 1     Preliminary score = 0", $K$34)),ISNUMBER(SEARCH("objective = 0     Preliminary score = 0", $K$34)),ISNUMBER(SEARCH("Old score = 2          Preliminary score = 1", $K$34)),ISNUMBER(SEARCH("Old score = 2          Preliminary score = 0", $K$34)),ISNUMBER(SEARCH("Old score = 1          Preliminary score = 1", $K$34)),ISNUMBER(SEARCH("score = 1          Preliminary score = 0", $K$34)),ISNUMBER(SEARCH("score = 0          Preliminary score = 0", $K$34)))</formula>
    </cfRule>
  </conditionalFormatting>
  <conditionalFormatting sqref="K35">
    <cfRule type="expression" dxfId="281" priority="29">
      <formula>OR(ISNUMBER(SEARCH("objective = 3     Preliminary score = 3",$K$35)),ISNUMBER(SEARCH("objective = 3     Preliminary score = 2",$K$35)),ISNUMBER(SEARCH("objective = 2     Preliminary score = 3",$K$35)),ISNUMBER(SEARCH("objective = 2     Preliminary score = 2",$K$35)),ISNUMBER(SEARCH("Old score = 3          Preliminary score = 3",$K$35)),ISNUMBER(SEARCH("Old score = 3          Preliminary score = 2",$K$35)),ISNUMBER(SEARCH("Old score = 2          Preliminary score = 3",$K$35)),ISNUMBER(SEARCH("Old score = 2          Preliminary score = 2",$K$35)))</formula>
    </cfRule>
    <cfRule type="expression" dxfId="280" priority="60">
      <formula>OR(ISNUMBER(SEARCH("objective = 3     Preliminary score = 1", $K$35)),ISNUMBER(SEARCH("objective = 3     Preliminary score = 0", $K$35)),ISNUMBER(SEARCH("objective = 1     Preliminary score = 2", $K$35)),ISNUMBER(SEARCH("objective = 1     Preliminary score = 3", $K$35)),ISNUMBER(SEARCH("objective = 0     Preliminary score = 1", $K$35)),ISNUMBER(SEARCH("objective = 0     Preliminary score = 2", $K$35)),ISNUMBER(SEARCH("objective = 0     Preliminary score = 3", $K$35)),ISNUMBER(SEARCH("Old score = 3          Preliminary score = 1", $K$35)),ISNUMBER(SEARCH("Old score = 3          Preliminary score = 0", $K$35)),ISNUMBER(SEARCH("Old score = 1          Preliminary score = 2", $K$35)),ISNUMBER(SEARCH("Old score = 1          Preliminary score = 3", $K$35)),ISNUMBER(SEARCH("Old score = 0          Preliminary score = 1", $K$35)),ISNUMBER(SEARCH("Old score = 0          Preliminary score = 2", $K$35)),ISNUMBER(SEARCH("Old score = 0          Preliminary score = 3", $K$35)))</formula>
    </cfRule>
    <cfRule type="expression" dxfId="279" priority="91">
      <formula>OR(ISNUMBER(SEARCH("objective = 2     Preliminary score = 1", $K$35)),ISNUMBER(SEARCH("objective = 2     Preliminary score = 0", $K$35)),ISNUMBER(SEARCH("objective = 1     Preliminary score = 1", $K$35)),ISNUMBER(SEARCH("objective = 1     Preliminary score = 0", $K$35)),ISNUMBER(SEARCH("objective = 0     Preliminary score = 0", $K$35)),ISNUMBER(SEARCH("Old score = 2          Preliminary score = 1", $K$35)),ISNUMBER(SEARCH("Old score = 2          Preliminary score = 0", $K$35)),ISNUMBER(SEARCH("Old score = 1          Preliminary score = 1", $K$35)),ISNUMBER(SEARCH("score = 1          Preliminary score = 0", $K$35)),ISNUMBER(SEARCH("score = 0          Preliminary score = 0", $K$35)))</formula>
    </cfRule>
  </conditionalFormatting>
  <conditionalFormatting sqref="K39">
    <cfRule type="expression" dxfId="278" priority="25">
      <formula>OR(ISNUMBER(SEARCH("objective = 3     Preliminary score = 3",$K$39)),ISNUMBER(SEARCH("objective = 3     Preliminary score = 2",$K$39)),ISNUMBER(SEARCH("objective = 2     Preliminary score = 3",$K$39)),ISNUMBER(SEARCH("objective = 2     Preliminary score = 2",$K$39)),ISNUMBER(SEARCH("Old score = 3          Preliminary score = 3",$K$39)),ISNUMBER(SEARCH("Old score = 3          Preliminary score = 2",$K$39)),ISNUMBER(SEARCH("Old score = 2          Preliminary score = 3",$K$39)),ISNUMBER(SEARCH("Old score = 2          Preliminary score = 2",$K$39)))</formula>
    </cfRule>
    <cfRule type="expression" dxfId="277" priority="56">
      <formula>OR(ISNUMBER(SEARCH("objective = 3     Preliminary score = 1", $K$39)),ISNUMBER(SEARCH("objective = 3     Preliminary score = 0", $K$39)),ISNUMBER(SEARCH("objective = 1     Preliminary score = 2", $K$39)),ISNUMBER(SEARCH("objective = 1     Preliminary score = 3", $K$39)),ISNUMBER(SEARCH("objective = 0     Preliminary score = 1", $K$39)),ISNUMBER(SEARCH("objective = 0     Preliminary score = 2", $K$39)),ISNUMBER(SEARCH("objective = 0     Preliminary score = 3", $K$39)),ISNUMBER(SEARCH("Old score = 3          Preliminary score = 1", $K$39)),ISNUMBER(SEARCH("Old score = 3          Preliminary score = 0", $K$39)),ISNUMBER(SEARCH("Old score = 1          Preliminary score = 2", $K$39)),ISNUMBER(SEARCH("Old score = 1          Preliminary score = 3", $K$39)),ISNUMBER(SEARCH("Old score = 0          Preliminary score = 1", $K$39)),ISNUMBER(SEARCH("Old score = 0          Preliminary score = 2", $K$39)),ISNUMBER(SEARCH("Old score = 0          Preliminary score = 3", $K$39)))</formula>
    </cfRule>
    <cfRule type="expression" dxfId="276" priority="87">
      <formula>OR(ISNUMBER(SEARCH("objective = 2     Preliminary score = 1", $K$39)),ISNUMBER(SEARCH("objective = 2     Preliminary score = 0", $K$39)),ISNUMBER(SEARCH("objective = 1     Preliminary score = 1", $K$39)),ISNUMBER(SEARCH("objective = 1     Preliminary score = 0", $K$39)),ISNUMBER(SEARCH("objective = 0     Preliminary score = 0", $K$39)),ISNUMBER(SEARCH("Old score = 2          Preliminary score = 1", $K$39)),ISNUMBER(SEARCH("Old score = 2          Preliminary score = 0", $K$39)),ISNUMBER(SEARCH("Old score = 1          Preliminary score = 1", $K$39)),ISNUMBER(SEARCH("score = 1          Preliminary score = 0", $K$39)),ISNUMBER(SEARCH("score = 0          Preliminary score = 0", $K$39)))</formula>
    </cfRule>
  </conditionalFormatting>
  <conditionalFormatting sqref="K43">
    <cfRule type="expression" dxfId="275" priority="21">
      <formula>OR(ISNUMBER(SEARCH("objective = 3     Preliminary score = 3",$K$43)),ISNUMBER(SEARCH("objective = 3     Preliminary score = 2",$K$43)),ISNUMBER(SEARCH("objective = 2     Preliminary score = 3",$K$43)),ISNUMBER(SEARCH("objective = 2     Preliminary score = 2",$K$43)),ISNUMBER(SEARCH("Old score = 3          Preliminary score = 3",$K$43)),ISNUMBER(SEARCH("Old score = 3          Preliminary score = 2",$K$43)),ISNUMBER(SEARCH("Old score = 2          Preliminary score = 3",$K$43)),ISNUMBER(SEARCH("Old score = 2          Preliminary score = 2",$K$43)))</formula>
    </cfRule>
    <cfRule type="expression" dxfId="274" priority="52">
      <formula>OR(ISNUMBER(SEARCH("objective = 3     Preliminary score = 1", $K$43)),ISNUMBER(SEARCH("objective = 3     Preliminary score = 0", $K$43)),ISNUMBER(SEARCH("objective = 1     Preliminary score = 2", $K$43)),ISNUMBER(SEARCH("objective = 1     Preliminary score = 3", $K$43)),ISNUMBER(SEARCH("objective = 0     Preliminary score = 1", $K$43)),ISNUMBER(SEARCH("objective = 0     Preliminary score = 2", $K$43)),ISNUMBER(SEARCH("objective = 0     Preliminary score = 3", $K$43)),ISNUMBER(SEARCH("Old score = 3          Preliminary score = 1", $K$43)),ISNUMBER(SEARCH("Old score = 3          Preliminary score = 0", $K$43)),ISNUMBER(SEARCH("Old score = 1          Preliminary score = 2", $K$43)),ISNUMBER(SEARCH("Old score = 1          Preliminary score = 3", $K$43)),ISNUMBER(SEARCH("Old score = 0          Preliminary score = 1", $K$43)),ISNUMBER(SEARCH("Old score = 0          Preliminary score = 2", $K$43)),ISNUMBER(SEARCH("Old score = 0          Preliminary score = 3", $K$43)))</formula>
    </cfRule>
    <cfRule type="expression" dxfId="273" priority="83">
      <formula>OR(ISNUMBER(SEARCH("objective = 2     Preliminary score = 1", $K$43)),ISNUMBER(SEARCH("objective = 2     Preliminary score = 0", $K$43)),ISNUMBER(SEARCH("objective = 1     Preliminary score = 1", $K$43)),ISNUMBER(SEARCH("objective = 1     Preliminary score = 0", $K$43)),ISNUMBER(SEARCH("objective = 0     Preliminary score = 0", $K$43)),ISNUMBER(SEARCH("Old score = 2          Preliminary score = 1", $K$43)),ISNUMBER(SEARCH("Old score = 2          Preliminary score = 0", $K$43)),ISNUMBER(SEARCH("Old score = 1          Preliminary score = 1", $K$43)),ISNUMBER(SEARCH("score = 1          Preliminary score = 0", $K$43)),ISNUMBER(SEARCH("score = 0          Preliminary score = 0", $K$43)))</formula>
    </cfRule>
  </conditionalFormatting>
  <conditionalFormatting sqref="K48">
    <cfRule type="expression" dxfId="272" priority="16">
      <formula>OR(ISNUMBER(SEARCH("objective = 3     Preliminary score = 3",$K$48)),ISNUMBER(SEARCH("objective = 3     Preliminary score = 2",$K$48)),ISNUMBER(SEARCH("objective = 2     Preliminary score = 3",$K$48)),ISNUMBER(SEARCH("objective = 2     Preliminary score = 2",$K$48)),ISNUMBER(SEARCH("Old score = 3          Preliminary score = 3",$K$48)),ISNUMBER(SEARCH("Old score = 3          Preliminary score = 2",$K$48)),ISNUMBER(SEARCH("Old score = 2          Preliminary score = 3",$K$48)),ISNUMBER(SEARCH("Old score = 2          Preliminary score = 2",$K$48)))</formula>
    </cfRule>
    <cfRule type="expression" dxfId="271" priority="47">
      <formula>OR(ISNUMBER(SEARCH("objective = 3     Preliminary score = 1", $K$48)),ISNUMBER(SEARCH("objective = 3     Preliminary score = 0", $K$48)),ISNUMBER(SEARCH("objective = 1     Preliminary score = 2", $K$48)),ISNUMBER(SEARCH("objective = 1     Preliminary score = 3", $K$48)),ISNUMBER(SEARCH("objective = 0     Preliminary score = 1", $K$48)),ISNUMBER(SEARCH("objective = 0     Preliminary score = 2", $K$48)),ISNUMBER(SEARCH("objective = 0     Preliminary score = 3", $K$48)),ISNUMBER(SEARCH("Old score = 3          Preliminary score = 1", $K$48)),ISNUMBER(SEARCH("Old score = 3          Preliminary score = 0", $K$48)),ISNUMBER(SEARCH("Old score = 1          Preliminary score = 2", $K$48)),ISNUMBER(SEARCH("Old score = 1          Preliminary score = 3", $K$48)),ISNUMBER(SEARCH("Old score = 0          Preliminary score = 1", $K$48)),ISNUMBER(SEARCH("Old score = 0          Preliminary score = 2", $K$48)),ISNUMBER(SEARCH("Old score = 0          Preliminary score = 3", $K$48)))</formula>
    </cfRule>
    <cfRule type="expression" dxfId="270" priority="78">
      <formula>OR(ISNUMBER(SEARCH("objective = 2     Preliminary score = 1", $K$48)),ISNUMBER(SEARCH("objective = 2     Preliminary score = 0", $K$48)),ISNUMBER(SEARCH("objective = 1     Preliminary score = 1", $K$48)),ISNUMBER(SEARCH("objective = 1     Preliminary score = 0", $K$48)),ISNUMBER(SEARCH("objective = 0     Preliminary score = 0", $K$48)),ISNUMBER(SEARCH("Old score = 2          Preliminary score = 1", $K$48)),ISNUMBER(SEARCH("Old score = 2          Preliminary score = 0", $K$48)),ISNUMBER(SEARCH("Old score = 1          Preliminary score = 1", $K$48)),ISNUMBER(SEARCH("score = 1          Preliminary score = 0", $K$48)),ISNUMBER(SEARCH("score = 0          Preliminary score = 0", $K$48)))</formula>
    </cfRule>
  </conditionalFormatting>
  <conditionalFormatting sqref="K54">
    <cfRule type="expression" dxfId="269" priority="10">
      <formula>OR(ISNUMBER(SEARCH("objective = 3     Preliminary score = 3",$K$54)),ISNUMBER(SEARCH("objective = 3     Preliminary score = 2",$K$54)),ISNUMBER(SEARCH("objective = 2     Preliminary score = 3",$K$54)),ISNUMBER(SEARCH("objective = 2     Preliminary score = 2",$K$54)),ISNUMBER(SEARCH("Old score = 3          Preliminary score = 3",$K$54)),ISNUMBER(SEARCH("Old score = 3          Preliminary score = 2",$K$54)),ISNUMBER(SEARCH("Old score = 2          Preliminary score = 3",$K$54)),ISNUMBER(SEARCH("Old score = 2          Preliminary score = 2",$K$54)))</formula>
    </cfRule>
    <cfRule type="expression" dxfId="268" priority="41">
      <formula>OR(ISNUMBER(SEARCH("objective = 3     Preliminary score = 1", $K$54)),ISNUMBER(SEARCH("objective = 3     Preliminary score = 0", $K$54)),ISNUMBER(SEARCH("objective = 1     Preliminary score = 2", $K$54)),ISNUMBER(SEARCH("objective = 1     Preliminary score = 3", $K$54)),ISNUMBER(SEARCH("objective = 0     Preliminary score = 1", $K$54)),ISNUMBER(SEARCH("objective = 0     Preliminary score = 2", $K$54)),ISNUMBER(SEARCH("objective = 0     Preliminary score = 3", $K$54)),ISNUMBER(SEARCH("Old score = 3          Preliminary score = 1", $K$54)),ISNUMBER(SEARCH("Old score = 3          Preliminary score = 0", $K$54)),ISNUMBER(SEARCH("Old score = 1          Preliminary score = 2", $K$54)),ISNUMBER(SEARCH("Old score = 1          Preliminary score = 3", $K$54)),ISNUMBER(SEARCH("Old score = 0          Preliminary score = 1", $K$54)),ISNUMBER(SEARCH("Old score = 0          Preliminary score = 2", $K$54)),ISNUMBER(SEARCH("Old score = 0          Preliminary score = 3", $K$54)))</formula>
    </cfRule>
    <cfRule type="expression" dxfId="267" priority="72">
      <formula>OR(ISNUMBER(SEARCH("objective = 2     Preliminary score = 1", $K$54)),ISNUMBER(SEARCH("objective = 2     Preliminary score = 0", $K$54)),ISNUMBER(SEARCH("objective = 1     Preliminary score = 1", $K$54)),ISNUMBER(SEARCH("objective = 1     Preliminary score = 0", $K$54)),ISNUMBER(SEARCH("objective = 0     Preliminary score = 0", $K$54)),ISNUMBER(SEARCH("Old score = 2          Preliminary score = 1", $K$54)),ISNUMBER(SEARCH("Old score = 2          Preliminary score = 0", $K$54)),ISNUMBER(SEARCH("Old score = 1          Preliminary score = 1", $K$54)),ISNUMBER(SEARCH("score = 1          Preliminary score = 0", $K$54)),ISNUMBER(SEARCH("score = 0          Preliminary score = 0", $K$54)))</formula>
    </cfRule>
  </conditionalFormatting>
  <conditionalFormatting sqref="K49">
    <cfRule type="expression" dxfId="266" priority="15">
      <formula>OR(ISNUMBER(SEARCH("objective = 3     Preliminary score = 3",$K$49)),ISNUMBER(SEARCH("objective = 3     Preliminary score = 2",$K$49)),ISNUMBER(SEARCH("objective = 2     Preliminary score = 3",$K$49)),ISNUMBER(SEARCH("objective = 2     Preliminary score = 2",$K$49)),ISNUMBER(SEARCH("Old score = 3          Preliminary score = 3",$K$49)),ISNUMBER(SEARCH("Old score = 3          Preliminary score = 2",$K$49)),ISNUMBER(SEARCH("Old score = 2          Preliminary score = 3",$K$49)),ISNUMBER(SEARCH("Old score = 2          Preliminary score = 2",$K$49)))</formula>
    </cfRule>
    <cfRule type="expression" dxfId="265" priority="46" stopIfTrue="1">
      <formula>OR(ISNUMBER(SEARCH("objective = 3     Preliminary score = 1", $K$49)),ISNUMBER(SEARCH("objective = 3     Preliminary score = 0", $K$49)),ISNUMBER(SEARCH("objective = 1     Preliminary score = 2", $K$49)),ISNUMBER(SEARCH("objective = 1     Preliminary score = 3", $K$49)),ISNUMBER(SEARCH("objective = 0     Preliminary score = 1", $K$49)),ISNUMBER(SEARCH("objective = 0     Preliminary score = 2", $K$49)),ISNUMBER(SEARCH("objective = 0     Preliminary score = 3", $K$49)),ISNUMBER(SEARCH("Old score = 3          Preliminary score = 1", $K$49)),ISNUMBER(SEARCH("Old score = 3          Preliminary score = 0", $K$49)),ISNUMBER(SEARCH("Old score = 1          Preliminary score = 2", $K$49)),ISNUMBER(SEARCH("Old score = 1          Preliminary score = 3", $K$49)),ISNUMBER(SEARCH("Old score = 0          Preliminary score = 1", $K$49)),ISNUMBER(SEARCH("Old score = 0          Preliminary score = 2", $K$49)),ISNUMBER(SEARCH("Old score = 0          Preliminary score = 3", $K$49)))</formula>
    </cfRule>
    <cfRule type="expression" dxfId="264" priority="77" stopIfTrue="1">
      <formula>OR(ISNUMBER(SEARCH("objective = 2     Preliminary score = 1", $K$49)),ISNUMBER(SEARCH("objective = 2     Preliminary score = 0", $K$49)),ISNUMBER(SEARCH("objective = 1     Preliminary score = 1", $K$49)),ISNUMBER(SEARCH("objective = 1     Preliminary score = 0", $K$49)),ISNUMBER(SEARCH("objective = 0     Preliminary score = 0", $K$49)),ISNUMBER(SEARCH("Old score = 2          Preliminary score = 1", $K$49)),ISNUMBER(SEARCH("Old score = 2          Preliminary score = 0", $K$49)),ISNUMBER(SEARCH("Old score = 1          Preliminary score = 1", $K$49)),ISNUMBER(SEARCH("score = 1          Preliminary score = 0", $K$49)),ISNUMBER(SEARCH("score = 0          Preliminary score = 0", $K$49)))</formula>
    </cfRule>
  </conditionalFormatting>
  <conditionalFormatting sqref="K26">
    <cfRule type="expression" dxfId="263" priority="38">
      <formula>OR(ISNUMBER(SEARCH("objective = 3     Preliminary score = 3",$K$26)),ISNUMBER(SEARCH("objective = 3     Preliminary score = 2",$K$26)),ISNUMBER(SEARCH("objective = 2     Preliminary score = 3",$K$26)),ISNUMBER(SEARCH("objective = 2     Preliminary score = 2",$K$26)),ISNUMBER(SEARCH("Old score = 3          Preliminary score = 3",$K$26)),ISNUMBER(SEARCH("Old score = 3          Preliminary score = 2",$K$26)),ISNUMBER(SEARCH("Old score = 2          Preliminary score = 3",$K$26)),ISNUMBER(SEARCH("Old score = 2          Preliminary score = 2",$K$26)))</formula>
    </cfRule>
    <cfRule type="expression" dxfId="262" priority="69">
      <formula>OR(ISNUMBER(SEARCH("objective = 3     Preliminary score = 1", $K$26)),ISNUMBER(SEARCH("objective = 3     Preliminary score = 0", $K$26)),ISNUMBER(SEARCH("objective = 1     Preliminary score = 2", $K$26)),ISNUMBER(SEARCH("objective = 1     Preliminary score = 3", $K$26)),ISNUMBER(SEARCH("objective = 0     Preliminary score = 1", $K$26)),ISNUMBER(SEARCH("objective = 0     Preliminary score = 2", $K$26)),ISNUMBER(SEARCH("objective = 0     Preliminary score = 3", $K$26)),ISNUMBER(SEARCH("Old score = 3          Preliminary score = 1", $K$26)),ISNUMBER(SEARCH("Old score = 3          Preliminary score = 0", $K$26)),ISNUMBER(SEARCH("Old score = 1          Preliminary score = 2", $K$26)),ISNUMBER(SEARCH("Old score = 1          Preliminary score = 3", $K$26)),ISNUMBER(SEARCH("Old score = 0          Preliminary score = 1", $K$26)),ISNUMBER(SEARCH("Old score = 0          Preliminary score = 2", $K$26)),ISNUMBER(SEARCH("Old score = 0          Preliminary score = 3", $K$26)))</formula>
    </cfRule>
    <cfRule type="expression" dxfId="261" priority="100">
      <formula>OR(ISNUMBER(SEARCH("objective = 2     Preliminary score = 1", $K$26)),ISNUMBER(SEARCH("objective = 2     Preliminary score = 0", $K$26)),ISNUMBER(SEARCH("objective = 1     Preliminary score = 1", $K$26)),ISNUMBER(SEARCH("objective = 1     Preliminary score = 0", $K$26)),ISNUMBER(SEARCH("objective = 0     Preliminary score = 0", $K$26)),ISNUMBER(SEARCH("Old score = 2          Preliminary score = 1", $K$26)),ISNUMBER(SEARCH("Old score = 2          Preliminary score = 0", $K$26)),ISNUMBER(SEARCH("Old score = 1          Preliminary score = 1", $K$26)),ISNUMBER(SEARCH("score = 1          Preliminary score = 0", $K$26)),ISNUMBER(SEARCH("score = 0          Preliminary score = 0", $K$26)))</formula>
    </cfRule>
  </conditionalFormatting>
  <conditionalFormatting sqref="K28">
    <cfRule type="expression" dxfId="260" priority="36">
      <formula>OR(ISNUMBER(SEARCH("objective = 3     Preliminary score = 3",$K$28)),ISNUMBER(SEARCH("objective = 3     Preliminary score = 2",$K$28)),ISNUMBER(SEARCH("objective = 2     Preliminary score = 3",$K$28)),ISNUMBER(SEARCH("objective = 2     Preliminary score = 2",$K$28)),ISNUMBER(SEARCH("Old score = 3          Preliminary score = 3",$K$28)),ISNUMBER(SEARCH("Old score = 3          Preliminary score = 2",$K$28)),ISNUMBER(SEARCH("Old score = 2          Preliminary score = 3",$K$28)),ISNUMBER(SEARCH("Old score = 2          Preliminary score = 2",$K$28)))</formula>
    </cfRule>
    <cfRule type="expression" dxfId="259" priority="67">
      <formula>OR(ISNUMBER(SEARCH("objective = 3     Preliminary score = 1", $K$28)),ISNUMBER(SEARCH("objective = 3     Preliminary score = 0", $K$28)),ISNUMBER(SEARCH("objective = 1     Preliminary score = 2", $K$28)),ISNUMBER(SEARCH("objective = 1     Preliminary score = 3", $K$28)),ISNUMBER(SEARCH("objective = 0     Preliminary score = 1", $K$28)),ISNUMBER(SEARCH("objective = 0     Preliminary score = 2", $K$28)),ISNUMBER(SEARCH("objective = 0     Preliminary score = 3", $K$28)),ISNUMBER(SEARCH("Old score = 3          Preliminary score = 1", $K$28)),ISNUMBER(SEARCH("Old score = 3          Preliminary score = 0", $K$28)),ISNUMBER(SEARCH("Old score = 1          Preliminary score = 2", $K$28)),ISNUMBER(SEARCH("Old score = 1          Preliminary score = 3", $K$28)),ISNUMBER(SEARCH("Old score = 0          Preliminary score = 1", $K$28)),ISNUMBER(SEARCH("Old score = 0          Preliminary score = 2", $K$28)),ISNUMBER(SEARCH("Old score = 0          Preliminary score = 3", $K$28)))</formula>
    </cfRule>
    <cfRule type="expression" dxfId="258" priority="98">
      <formula>OR(ISNUMBER(SEARCH("objective = 2     Preliminary score = 1", $K$28)),ISNUMBER(SEARCH("objective = 2     Preliminary score = 0", $K$28)),ISNUMBER(SEARCH("objective = 1     Preliminary score = 1", $K$28)),ISNUMBER(SEARCH("objective = 1     Preliminary score = 0", $K$28)),ISNUMBER(SEARCH("objective = 0     Preliminary score = 0", $K$28)),ISNUMBER(SEARCH("Old score = 2          Preliminary score = 1", $K$28)),ISNUMBER(SEARCH("Old score = 2          Preliminary score = 0", $K$28)),ISNUMBER(SEARCH("Old score = 1          Preliminary score = 1", $K$28)),ISNUMBER(SEARCH("score = 1          Preliminary score = 0", $K$28)),ISNUMBER(SEARCH("score = 0          Preliminary score = 0", $K$28)))</formula>
    </cfRule>
  </conditionalFormatting>
  <conditionalFormatting sqref="K29">
    <cfRule type="expression" dxfId="257" priority="35">
      <formula>OR(ISNUMBER(SEARCH("objective = 3     Preliminary score = 3",$K$29)),ISNUMBER(SEARCH("objective = 3     Preliminary score = 2",$K$29)),ISNUMBER(SEARCH("objective = 2     Preliminary score = 3",$K$29)),ISNUMBER(SEARCH("objective = 2     Preliminary score = 2",$K$29)),ISNUMBER(SEARCH("Old score = 3          Preliminary score = 3",$K$29)),ISNUMBER(SEARCH("Old score = 3          Preliminary score = 2",$K$29)),ISNUMBER(SEARCH("Old score = 2          Preliminary score = 3",$K$29)),ISNUMBER(SEARCH("Old score = 2          Preliminary score = 2",$K$29)))</formula>
    </cfRule>
    <cfRule type="expression" dxfId="256" priority="66">
      <formula>OR(ISNUMBER(SEARCH("objective = 3     Preliminary score = 1", $K$29)),ISNUMBER(SEARCH("objective = 3     Preliminary score = 0", $K$29)),ISNUMBER(SEARCH("objective = 1     Preliminary score = 2", $K$29)),ISNUMBER(SEARCH("objective = 1     Preliminary score = 3", $K$29)),ISNUMBER(SEARCH("objective = 0     Preliminary score = 1", $K$29)),ISNUMBER(SEARCH("objective = 0     Preliminary score = 2", $K$29)),ISNUMBER(SEARCH("objective = 0     Preliminary score = 3", $K$29)),ISNUMBER(SEARCH("Old score = 3          Preliminary score = 1", $K$29)),ISNUMBER(SEARCH("Old score = 3          Preliminary score = 0", $K$29)),ISNUMBER(SEARCH("Old score = 1          Preliminary score = 2", $K$29)),ISNUMBER(SEARCH("Old score = 1          Preliminary score = 3", $K$29)),ISNUMBER(SEARCH("Old score = 0          Preliminary score = 1", $K$29)),ISNUMBER(SEARCH("Old score = 0          Preliminary score = 2", $K$29)),ISNUMBER(SEARCH("Old score = 0          Preliminary score = 3", $K$29)))</formula>
    </cfRule>
    <cfRule type="expression" dxfId="255" priority="99">
      <formula>OR(ISNUMBER(SEARCH("objective = 2     Preliminary score = 1", $K$29)),ISNUMBER(SEARCH("objective = 2     Preliminary score = 0", $K$29)),ISNUMBER(SEARCH("objective = 1     Preliminary score = 1", $K$29)),ISNUMBER(SEARCH("objective = 1     Preliminary score = 0", $K$29)),ISNUMBER(SEARCH("objective = 0     Preliminary score = 0", $K$29)),ISNUMBER(SEARCH("Old score = 2          Preliminary score = 1", $K$29)),ISNUMBER(SEARCH("Old score = 2          Preliminary score = 0", $K$29)),ISNUMBER(SEARCH("Old score = 1          Preliminary score = 1", $K$29)),ISNUMBER(SEARCH("score = 1          Preliminary score = 0", $K$29)),ISNUMBER(SEARCH("score = 0          Preliminary score = 0", $K$29)))</formula>
    </cfRule>
  </conditionalFormatting>
  <conditionalFormatting sqref="K32">
    <cfRule type="expression" dxfId="254" priority="32">
      <formula>OR(ISNUMBER(SEARCH("objective = 3     Preliminary score = 3",$K$32)),ISNUMBER(SEARCH("objective = 3     Preliminary score = 2",$K$32)),ISNUMBER(SEARCH("objective = 2     Preliminary score = 3",$K$32)),ISNUMBER(SEARCH("objective = 2     Preliminary score = 2",$K$32)),ISNUMBER(SEARCH("Old score = 3          Preliminary score = 3",$K$32)),ISNUMBER(SEARCH("Old score = 3          Preliminary score = 2",$K$32)),ISNUMBER(SEARCH("Old score = 2          Preliminary score = 3",$K$32)),ISNUMBER(SEARCH("Old score = 2          Preliminary score = 2",$K$32)))</formula>
    </cfRule>
    <cfRule type="expression" dxfId="253" priority="63">
      <formula>OR(ISNUMBER(SEARCH("objective = 3     Preliminary score = 1", $K$32)),ISNUMBER(SEARCH("objective = 3     Preliminary score = 0", $K$32)),ISNUMBER(SEARCH("objective = 1     Preliminary score = 2", $K$32)),ISNUMBER(SEARCH("objective = 1     Preliminary score = 3", $K$32)),ISNUMBER(SEARCH("objective = 0     Preliminary score = 1", $K$32)),ISNUMBER(SEARCH("objective = 0     Preliminary score = 2", $K$32)),ISNUMBER(SEARCH("objective = 0     Preliminary score = 3", $K$32)),ISNUMBER(SEARCH("Old score = 3          Preliminary score = 1", $K$32)),ISNUMBER(SEARCH("Old score = 3          Preliminary score = 0", $K$32)),ISNUMBER(SEARCH("Old score = 1          Preliminary score = 2", $K$32)),ISNUMBER(SEARCH("Old score = 1          Preliminary score = 3", $K$32)),ISNUMBER(SEARCH("Old score = 0          Preliminary score = 1", $K$32)),ISNUMBER(SEARCH("Old score = 0          Preliminary score = 2", $K$32)),ISNUMBER(SEARCH("Old score = 0          Preliminary score = 3", $K$32)))</formula>
    </cfRule>
    <cfRule type="expression" dxfId="252" priority="94">
      <formula>OR(ISNUMBER(SEARCH("objective = 2     Preliminary score = 1", $K$32)),ISNUMBER(SEARCH("objective = 2     Preliminary score = 0", $K$32)),ISNUMBER(SEARCH("objective = 1     Preliminary score = 1", $K$32)),ISNUMBER(SEARCH("objective = 1     Preliminary score = 0", $K$32)),ISNUMBER(SEARCH("objective = 0     Preliminary score = 0", $K$32)),ISNUMBER(SEARCH("Old score = 2          Preliminary score = 1", $K$32)),ISNUMBER(SEARCH("Old score = 2          Preliminary score = 0", $K$32)),ISNUMBER(SEARCH("Old score = 1          Preliminary score = 1", $K$32)),ISNUMBER(SEARCH("score = 1          Preliminary score = 0", $K$32)),ISNUMBER(SEARCH("score = 0          Preliminary score = 0", $K$32)))</formula>
    </cfRule>
  </conditionalFormatting>
  <conditionalFormatting sqref="K33">
    <cfRule type="expression" dxfId="251" priority="31">
      <formula>OR(ISNUMBER(SEARCH("objective = 3     Preliminary score = 3",$K$33)),ISNUMBER(SEARCH("objective = 3     Preliminary score = 2",$K$33)),ISNUMBER(SEARCH("objective = 2     Preliminary score = 3",$K$33)),ISNUMBER(SEARCH("objective = 2     Preliminary score = 2",$K$33)),ISNUMBER(SEARCH("Old score = 3          Preliminary score = 3",$K$33)),ISNUMBER(SEARCH("Old score = 3          Preliminary score = 2",$K$33)),ISNUMBER(SEARCH("Old score = 2          Preliminary score = 3",$K$33)),ISNUMBER(SEARCH("Old score = 2          Preliminary score = 2",$K$33)))</formula>
    </cfRule>
    <cfRule type="expression" dxfId="250" priority="62">
      <formula>OR(ISNUMBER(SEARCH("objective = 3     Preliminary score = 1", $K$33)),ISNUMBER(SEARCH("objective = 3     Preliminary score = 0", $K$33)),ISNUMBER(SEARCH("objective = 1     Preliminary score = 2", $K$33)),ISNUMBER(SEARCH("objective = 1     Preliminary score = 3", $K$33)),ISNUMBER(SEARCH("objective = 0     Preliminary score = 1", $K$33)),ISNUMBER(SEARCH("objective = 0     Preliminary score = 2", $K$33)),ISNUMBER(SEARCH("objective = 0     Preliminary score = 3", $K$33)),ISNUMBER(SEARCH("Old score = 3          Preliminary score = 1", $K$33)),ISNUMBER(SEARCH("Old score = 3          Preliminary score = 0", $K$33)),ISNUMBER(SEARCH("Old score = 1          Preliminary score = 2", $K$33)),ISNUMBER(SEARCH("Old score = 1          Preliminary score = 3", $K$33)),ISNUMBER(SEARCH("Old score = 0          Preliminary score = 1", $K$33)),ISNUMBER(SEARCH("Old score = 0          Preliminary score = 2", $K$33)),ISNUMBER(SEARCH("Old score = 0          Preliminary score = 3", $K$33)))</formula>
    </cfRule>
    <cfRule type="expression" dxfId="249" priority="93">
      <formula>OR(ISNUMBER(SEARCH("objective = 2     Preliminary score = 1", $K$33)),ISNUMBER(SEARCH("objective = 2     Preliminary score = 0", $K$33)),ISNUMBER(SEARCH("objective = 1     Preliminary score = 1", $K$33)),ISNUMBER(SEARCH("objective = 1     Preliminary score = 0", $K$33)),ISNUMBER(SEARCH("objective = 0     Preliminary score = 0", $K$33)),ISNUMBER(SEARCH("Old score = 2          Preliminary score = 1", $K$33)),ISNUMBER(SEARCH("Old score = 2          Preliminary score = 0", $K$33)),ISNUMBER(SEARCH("Old score = 1          Preliminary score = 1", $K$33)),ISNUMBER(SEARCH("score = 1          Preliminary score = 0", $K$33)),ISNUMBER(SEARCH("score = 0          Preliminary score = 0", $K$33)))</formula>
    </cfRule>
  </conditionalFormatting>
  <conditionalFormatting sqref="K38">
    <cfRule type="expression" dxfId="248" priority="26">
      <formula>OR(ISNUMBER(SEARCH("objective = 3     Preliminary score = 3",$K$38)),ISNUMBER(SEARCH("objective = 3     Preliminary score = 2",$K$38)),ISNUMBER(SEARCH("objective = 2     Preliminary score = 3",$K$38)),ISNUMBER(SEARCH("objective = 2     Preliminary score = 2",$K$38)),ISNUMBER(SEARCH("Old score = 3          Preliminary score = 3",$K$38)),ISNUMBER(SEARCH("Old score = 3          Preliminary score = 2",$K$38)),ISNUMBER(SEARCH("Old score = 2          Preliminary score = 3",$K$38)),ISNUMBER(SEARCH("Old score = 2          Preliminary score = 2",$K$38)))</formula>
    </cfRule>
    <cfRule type="expression" dxfId="247" priority="57">
      <formula>OR(ISNUMBER(SEARCH("objective = 3     Preliminary score = 1", $K$38)),ISNUMBER(SEARCH("objective = 3     Preliminary score = 0", $K$38)),ISNUMBER(SEARCH("objective = 1     Preliminary score = 2", $K$38)),ISNUMBER(SEARCH("objective = 1     Preliminary score = 3", $K$38)),ISNUMBER(SEARCH("objective = 0     Preliminary score = 1", $K$38)),ISNUMBER(SEARCH("objective = 0     Preliminary score = 2", $K$38)),ISNUMBER(SEARCH("objective = 0     Preliminary score = 3", $K$38)),ISNUMBER(SEARCH("Old score = 3          Preliminary score = 1", $K$38)),ISNUMBER(SEARCH("Old score = 3          Preliminary score = 0", $K$38)),ISNUMBER(SEARCH("Old score = 1          Preliminary score = 2", $K$38)),ISNUMBER(SEARCH("Old score = 1          Preliminary score = 3", $K$38)),ISNUMBER(SEARCH("Old score = 0          Preliminary score = 1", $K$38)),ISNUMBER(SEARCH("Old score = 0          Preliminary score = 2", $K$38)),ISNUMBER(SEARCH("Old score = 0          Preliminary score = 3", $K$38)))</formula>
    </cfRule>
    <cfRule type="expression" dxfId="246" priority="88">
      <formula>OR(ISNUMBER(SEARCH("objective = 2     Preliminary score = 1", $K$38)),ISNUMBER(SEARCH("objective = 2     Preliminary score = 0", $K$38)),ISNUMBER(SEARCH("objective = 1     Preliminary score = 1", $K$38)),ISNUMBER(SEARCH("objective = 1     Preliminary score = 0", $K$38)),ISNUMBER(SEARCH("objective = 0     Preliminary score = 0", $K$38)),ISNUMBER(SEARCH("Old score = 2          Preliminary score = 1", $K$38)),ISNUMBER(SEARCH("Old score = 2          Preliminary score = 0", $K$38)),ISNUMBER(SEARCH("Old score = 1          Preliminary score = 1", $K$38)),ISNUMBER(SEARCH("score = 1          Preliminary score = 0", $K$38)),ISNUMBER(SEARCH("score = 0          Preliminary score = 0", $K$38)))</formula>
    </cfRule>
  </conditionalFormatting>
  <conditionalFormatting sqref="K40">
    <cfRule type="expression" dxfId="245" priority="24">
      <formula>OR(ISNUMBER(SEARCH("objective = 3     Preliminary score = 3",$K$40)),ISNUMBER(SEARCH("objective = 3     Preliminary score = 2",$K$40)),ISNUMBER(SEARCH("objective = 2     Preliminary score = 3",$K$40)),ISNUMBER(SEARCH("objective = 2     Preliminary score = 2",$K$40)),ISNUMBER(SEARCH("Old score = 3          Preliminary score = 3",$K$40)),ISNUMBER(SEARCH("Old score = 3          Preliminary score = 2",$K$40)),ISNUMBER(SEARCH("Old score = 2          Preliminary score = 3",$K$40)),ISNUMBER(SEARCH("Old score = 2          Preliminary score = 2",$K$40)))</formula>
    </cfRule>
    <cfRule type="expression" dxfId="244" priority="55">
      <formula>OR(ISNUMBER(SEARCH("objective = 3     Preliminary score = 1", $K$40)),ISNUMBER(SEARCH("objective = 3     Preliminary score = 0", $K$40)),ISNUMBER(SEARCH("objective = 1     Preliminary score = 2", $K$40)),ISNUMBER(SEARCH("objective = 1     Preliminary score = 3", $K$40)),ISNUMBER(SEARCH("objective = 0     Preliminary score = 1", $K$40)),ISNUMBER(SEARCH("objective = 0     Preliminary score = 2", $K$40)),ISNUMBER(SEARCH("objective = 0     Preliminary score = 3", $K$40)),ISNUMBER(SEARCH("Old score = 3          Preliminary score = 1", $K$40)),ISNUMBER(SEARCH("Old score = 3          Preliminary score = 0", $K$40)),ISNUMBER(SEARCH("Old score = 1          Preliminary score = 2", $K$40)),ISNUMBER(SEARCH("Old score = 1          Preliminary score = 3", $K$40)),ISNUMBER(SEARCH("Old score = 0          Preliminary score = 1", $K$40)),ISNUMBER(SEARCH("Old score = 0          Preliminary score = 2", $K$40)),ISNUMBER(SEARCH("Old score = 0          Preliminary score = 3", $K$40)))</formula>
    </cfRule>
    <cfRule type="expression" dxfId="243" priority="86">
      <formula>OR(ISNUMBER(SEARCH("objective = 2     Preliminary score = 1", $K$40)),ISNUMBER(SEARCH("objective = 2     Preliminary score = 0", $K$40)),ISNUMBER(SEARCH("objective = 1     Preliminary score = 1", $K$40)),ISNUMBER(SEARCH("objective = 1     Preliminary score = 0", $K$40)),ISNUMBER(SEARCH("objective = 0     Preliminary score = 0", $K$40)),ISNUMBER(SEARCH("Old score = 2          Preliminary score = 1", $K$40)),ISNUMBER(SEARCH("Old score = 2          Preliminary score = 0", $K$40)),ISNUMBER(SEARCH("Old score = 1          Preliminary score = 1", $K$40)),ISNUMBER(SEARCH("score = 1          Preliminary score = 0", $K$40)),ISNUMBER(SEARCH("score = 0          Preliminary score = 0", $K$40)))</formula>
    </cfRule>
  </conditionalFormatting>
  <conditionalFormatting sqref="K41">
    <cfRule type="expression" dxfId="242" priority="23">
      <formula>OR(ISNUMBER(SEARCH("objective = 3     Preliminary score = 3",$K$41)),ISNUMBER(SEARCH("objective = 3     Preliminary score = 2",$K$41)),ISNUMBER(SEARCH("objective = 2     Preliminary score = 3",$K$41)),ISNUMBER(SEARCH("objective = 2     Preliminary score = 2",$K$41)),ISNUMBER(SEARCH("Old score = 3          Preliminary score = 3",$K$41)),ISNUMBER(SEARCH("Old score = 3          Preliminary score = 2",$K$41)),ISNUMBER(SEARCH("Old score = 2          Preliminary score = 3",$K$41)),ISNUMBER(SEARCH("Old score = 2          Preliminary score = 2",$K$41)))</formula>
    </cfRule>
    <cfRule type="expression" dxfId="241" priority="54">
      <formula>OR(ISNUMBER(SEARCH("objective = 3     Preliminary score = 1", $K$41)),ISNUMBER(SEARCH("objective = 3     Preliminary score = 0", $K$41)),ISNUMBER(SEARCH("objective = 1     Preliminary score = 2", $K$41)),ISNUMBER(SEARCH("objective = 1     Preliminary score = 3", $K$41)),ISNUMBER(SEARCH("objective = 0     Preliminary score = 1", $K$41)),ISNUMBER(SEARCH("objective = 0     Preliminary score = 2", $K$41)),ISNUMBER(SEARCH("objective = 0     Preliminary score = 3", $K$41)),ISNUMBER(SEARCH("Old score = 3          Preliminary score = 1", $K$41)),ISNUMBER(SEARCH("Old score = 3          Preliminary score = 0", $K$41)),ISNUMBER(SEARCH("Old score = 1          Preliminary score = 2", $K$41)),ISNUMBER(SEARCH("Old score = 1          Preliminary score = 3", $K$41)),ISNUMBER(SEARCH("Old score = 0          Preliminary score = 1", $K$41)),ISNUMBER(SEARCH("Old score = 0          Preliminary score = 2", $K$41)),ISNUMBER(SEARCH("Old score = 0          Preliminary score = 3", $K$41)))</formula>
    </cfRule>
    <cfRule type="expression" dxfId="240" priority="85">
      <formula>OR(ISNUMBER(SEARCH("objective = 2     Preliminary score = 1", $K$41)),ISNUMBER(SEARCH("objective = 2     Preliminary score = 0", $K$41)),ISNUMBER(SEARCH("objective = 1     Preliminary score = 1", $K$41)),ISNUMBER(SEARCH("objective = 1     Preliminary score = 0", $K$41)),ISNUMBER(SEARCH("objective = 0     Preliminary score = 0", $K$41)),ISNUMBER(SEARCH("Old score = 2          Preliminary score = 1", $K$41)),ISNUMBER(SEARCH("Old score = 2          Preliminary score = 0", $K$41)),ISNUMBER(SEARCH("Old score = 1          Preliminary score = 1", $K$41)),ISNUMBER(SEARCH("score = 1          Preliminary score = 0", $K$41)),ISNUMBER(SEARCH("score = 0          Preliminary score = 0", $K$41)))</formula>
    </cfRule>
  </conditionalFormatting>
  <conditionalFormatting sqref="K42">
    <cfRule type="expression" dxfId="239" priority="22">
      <formula>OR(ISNUMBER(SEARCH("objective = 3     Preliminary score = 3",$K$42)),ISNUMBER(SEARCH("objective = 3     Preliminary score = 2",$K$42)),ISNUMBER(SEARCH("objective = 2     Preliminary score = 3",$K$42)),ISNUMBER(SEARCH("objective = 2     Preliminary score = 2",$K$42)),ISNUMBER(SEARCH("Old score = 3          Preliminary score = 3",$K$42)),ISNUMBER(SEARCH("Old score = 3          Preliminary score = 2",$K$42)),ISNUMBER(SEARCH("Old score = 2          Preliminary score = 3",$K$42)),ISNUMBER(SEARCH("Old score = 2          Preliminary score = 2",$K$42)))</formula>
    </cfRule>
    <cfRule type="expression" dxfId="238" priority="53">
      <formula>OR(ISNUMBER(SEARCH("objective = 3     Preliminary score = 1", $K$42)),ISNUMBER(SEARCH("objective = 3     Preliminary score = 0", $K$42)),ISNUMBER(SEARCH("objective = 1     Preliminary score = 2", $K$42)),ISNUMBER(SEARCH("objective = 1     Preliminary score = 3", $K$42)),ISNUMBER(SEARCH("objective = 0     Preliminary score = 1", $K$42)),ISNUMBER(SEARCH("objective = 0     Preliminary score = 2", $K$42)),ISNUMBER(SEARCH("objective = 0     Preliminary score = 3", $K$42)),ISNUMBER(SEARCH("Old score = 3          Preliminary score = 1", $K$42)),ISNUMBER(SEARCH("Old score = 3          Preliminary score = 0", $K$42)),ISNUMBER(SEARCH("Old score = 1          Preliminary score = 2", $K$42)),ISNUMBER(SEARCH("Old score = 1          Preliminary score = 3", $K$42)),ISNUMBER(SEARCH("Old score = 0          Preliminary score = 1", $K$42)),ISNUMBER(SEARCH("Old score = 0          Preliminary score = 2", $K$42)),ISNUMBER(SEARCH("Old score = 0          Preliminary score = 3", $K$42)))</formula>
    </cfRule>
    <cfRule type="expression" dxfId="237" priority="84">
      <formula>OR(ISNUMBER(SEARCH("objective = 2     Preliminary score = 1", $K$42)),ISNUMBER(SEARCH("objective = 2     Preliminary score = 0", $K$42)),ISNUMBER(SEARCH("objective = 1     Preliminary score = 1", $K$42)),ISNUMBER(SEARCH("objective = 1     Preliminary score = 0", $K$42)),ISNUMBER(SEARCH("objective = 0     Preliminary score = 0", $K$42)),ISNUMBER(SEARCH("Old score = 2          Preliminary score = 1", $K$42)),ISNUMBER(SEARCH("Old score = 2          Preliminary score = 0", $K$42)),ISNUMBER(SEARCH("Old score = 1          Preliminary score = 1", $K$42)),ISNUMBER(SEARCH("score = 1          Preliminary score = 0", $K$42)),ISNUMBER(SEARCH("score = 0          Preliminary score = 0", $K$42)))</formula>
    </cfRule>
  </conditionalFormatting>
  <conditionalFormatting sqref="K44">
    <cfRule type="expression" dxfId="236" priority="20">
      <formula>OR(ISNUMBER(SEARCH("objective = 3     Preliminary score = 3",$K$44)),ISNUMBER(SEARCH("objective = 3     Preliminary score = 2",$K$44)),ISNUMBER(SEARCH("objective = 2     Preliminary score = 3",$K$44)),ISNUMBER(SEARCH("objective = 2     Preliminary score = 2",$K$44)),ISNUMBER(SEARCH("Old score = 3          Preliminary score = 3",$K$44)),ISNUMBER(SEARCH("Old score = 3          Preliminary score = 2",$K$44)),ISNUMBER(SEARCH("Old score = 2          Preliminary score = 3",$K$44)),ISNUMBER(SEARCH("Old score = 2          Preliminary score = 2",$K$44)))</formula>
    </cfRule>
    <cfRule type="expression" dxfId="235" priority="51">
      <formula>OR(ISNUMBER(SEARCH("objective = 3     Preliminary score = 1", $K$44)),ISNUMBER(SEARCH("objective = 3     Preliminary score = 0", $K$44)),ISNUMBER(SEARCH("objective = 1     Preliminary score = 2", $K$44)),ISNUMBER(SEARCH("objective = 1     Preliminary score = 3", $K$44)),ISNUMBER(SEARCH("objective = 0     Preliminary score = 1", $K$44)),ISNUMBER(SEARCH("objective = 0     Preliminary score = 2", $K$44)),ISNUMBER(SEARCH("objective = 0     Preliminary score = 3", $K$44)),ISNUMBER(SEARCH("Old score = 3          Preliminary score = 1", $K$44)),ISNUMBER(SEARCH("Old score = 3          Preliminary score = 0", $K$44)),ISNUMBER(SEARCH("Old score = 1          Preliminary score = 2", $K$44)),ISNUMBER(SEARCH("Old score = 1          Preliminary score = 3", $K$44)),ISNUMBER(SEARCH("Old score = 0          Preliminary score = 1", $K$44)),ISNUMBER(SEARCH("Old score = 0          Preliminary score = 2", $K$44)),ISNUMBER(SEARCH("Old score = 0          Preliminary score = 3", $K$44)))</formula>
    </cfRule>
    <cfRule type="expression" dxfId="234" priority="82">
      <formula>OR(ISNUMBER(SEARCH("objective = 2     Preliminary score = 1", $K$44)),ISNUMBER(SEARCH("objective = 2     Preliminary score = 0", $K$44)),ISNUMBER(SEARCH("objective = 1     Preliminary score = 1", $K$44)),ISNUMBER(SEARCH("objective = 1     Preliminary score = 0", $K$44)),ISNUMBER(SEARCH("objective = 0     Preliminary score = 0", $K$44)),ISNUMBER(SEARCH("Old score = 2          Preliminary score = 1", $K$44)),ISNUMBER(SEARCH("Old score = 2          Preliminary score = 0", $K$44)),ISNUMBER(SEARCH("Old score = 1          Preliminary score = 1", $K$44)),ISNUMBER(SEARCH("score = 1          Preliminary score = 0", $K$44)),ISNUMBER(SEARCH("score = 0          Preliminary score = 0", $K$44)))</formula>
    </cfRule>
  </conditionalFormatting>
  <conditionalFormatting sqref="K45">
    <cfRule type="expression" dxfId="233" priority="19">
      <formula>OR(ISNUMBER(SEARCH("objective = 3     Preliminary score = 3",$K$45)),ISNUMBER(SEARCH("objective = 3     Preliminary score = 2",$K$45)),ISNUMBER(SEARCH("objective = 2     Preliminary score = 3",$K$45)),ISNUMBER(SEARCH("objective = 2     Preliminary score = 2",$K$45)),ISNUMBER(SEARCH("Old score = 3          Preliminary score = 3",$K$45)),ISNUMBER(SEARCH("Old score = 3          Preliminary score = 2",$K$45)),ISNUMBER(SEARCH("Old score = 2          Preliminary score = 3",$K$45)),ISNUMBER(SEARCH("Old score = 2          Preliminary score = 2",$K$45)))</formula>
    </cfRule>
    <cfRule type="expression" dxfId="232" priority="50">
      <formula>OR(ISNUMBER(SEARCH("objective = 3     Preliminary score = 1", $K$45)),ISNUMBER(SEARCH("objective = 3     Preliminary score = 0", $K$45)),ISNUMBER(SEARCH("objective = 1     Preliminary score = 2", $K$45)),ISNUMBER(SEARCH("objective = 1     Preliminary score = 3", $K$45)),ISNUMBER(SEARCH("objective = 0     Preliminary score = 1", $K$45)),ISNUMBER(SEARCH("objective = 0     Preliminary score = 2", $K$45)),ISNUMBER(SEARCH("objective = 0     Preliminary score = 3", $K$45)),ISNUMBER(SEARCH("Old score = 3          Preliminary score = 1", $K$45)),ISNUMBER(SEARCH("Old score = 3          Preliminary score = 0", $K$45)),ISNUMBER(SEARCH("Old score = 1          Preliminary score = 2", $K$45)),ISNUMBER(SEARCH("Old score = 1          Preliminary score = 3", $K$45)),ISNUMBER(SEARCH("Old score = 0          Preliminary score = 1", $K$45)),ISNUMBER(SEARCH("Old score = 0          Preliminary score = 2", $K$45)),ISNUMBER(SEARCH("Old score = 0          Preliminary score = 3", $K$45)))</formula>
    </cfRule>
    <cfRule type="expression" dxfId="231" priority="81">
      <formula>OR(ISNUMBER(SEARCH("objective = 2     Preliminary score = 1", $K$45)),ISNUMBER(SEARCH("objective = 2     Preliminary score = 0", $K$45)),ISNUMBER(SEARCH("objective = 1     Preliminary score = 1", $K$45)),ISNUMBER(SEARCH("objective = 1     Preliminary score = 0", $K$45)),ISNUMBER(SEARCH("objective = 0     Preliminary score = 0", $K$45)),ISNUMBER(SEARCH("Old score = 2          Preliminary score = 1", $K$45)),ISNUMBER(SEARCH("Old score = 2          Preliminary score = 0", $K$45)),ISNUMBER(SEARCH("Old score = 1          Preliminary score = 1", $K$45)),ISNUMBER(SEARCH("score = 1          Preliminary score = 0", $K$45)),ISNUMBER(SEARCH("score = 0          Preliminary score = 0", $K$45)))</formula>
    </cfRule>
  </conditionalFormatting>
  <conditionalFormatting sqref="K46">
    <cfRule type="expression" dxfId="230" priority="18">
      <formula>OR(ISNUMBER(SEARCH("objective = 3     Preliminary score = 3",$K$46)),ISNUMBER(SEARCH("objective = 3     Preliminary score = 2",$K$46)),ISNUMBER(SEARCH("objective = 2     Preliminary score = 3",$K$46)),ISNUMBER(SEARCH("objective = 2     Preliminary score = 2",$K$46)),ISNUMBER(SEARCH("Old score = 3          Preliminary score = 3",$K$46)),ISNUMBER(SEARCH("Old score = 3          Preliminary score = 2",$K$46)),ISNUMBER(SEARCH("Old score = 2          Preliminary score = 3",$K$46)),ISNUMBER(SEARCH("Old score = 2          Preliminary score = 2",$K$46)))</formula>
    </cfRule>
    <cfRule type="expression" dxfId="229" priority="49">
      <formula>OR(ISNUMBER(SEARCH("objective = 3     Preliminary score = 1", $K$46)),ISNUMBER(SEARCH("objective = 3     Preliminary score = 0", $K$46)),ISNUMBER(SEARCH("objective = 1     Preliminary score = 2", $K$46)),ISNUMBER(SEARCH("objective = 1     Preliminary score = 3", $K$46)),ISNUMBER(SEARCH("objective = 0     Preliminary score = 1", $K$46)),ISNUMBER(SEARCH("objective = 0     Preliminary score = 2", $K$46)),ISNUMBER(SEARCH("objective = 0     Preliminary score = 3", $K$46)),ISNUMBER(SEARCH("Old score = 3          Preliminary score = 1", $K$46)),ISNUMBER(SEARCH("Old score = 3          Preliminary score = 0", $K$46)),ISNUMBER(SEARCH("Old score = 1          Preliminary score = 2", $K$46)),ISNUMBER(SEARCH("Old score = 1          Preliminary score = 3", $K$46)),ISNUMBER(SEARCH("Old score = 0          Preliminary score = 1", $K$46)),ISNUMBER(SEARCH("Old score = 0          Preliminary score = 2", $K$46)),ISNUMBER(SEARCH("Old score = 0          Preliminary score = 3", $K$46)))</formula>
    </cfRule>
    <cfRule type="expression" dxfId="228" priority="80">
      <formula>OR(ISNUMBER(SEARCH("objective = 2     Preliminary score = 1", $K$46)),ISNUMBER(SEARCH("objective = 2     Preliminary score = 0", $K$46)),ISNUMBER(SEARCH("objective = 1     Preliminary score = 1", $K$46)),ISNUMBER(SEARCH("objective = 1     Preliminary score = 0", $K$46)),ISNUMBER(SEARCH("objective = 0     Preliminary score = 0", $K$46)),ISNUMBER(SEARCH("Old score = 2          Preliminary score = 1", $K$46)),ISNUMBER(SEARCH("Old score = 2          Preliminary score = 0", $K$46)),ISNUMBER(SEARCH("Old score = 1          Preliminary score = 1", $K$46)),ISNUMBER(SEARCH("score = 1          Preliminary score = 0", $K$46)),ISNUMBER(SEARCH("score = 0          Preliminary score = 0", $K$46)))</formula>
    </cfRule>
  </conditionalFormatting>
  <conditionalFormatting sqref="K47">
    <cfRule type="expression" dxfId="227" priority="17">
      <formula>OR(ISNUMBER(SEARCH("objective = 3     Preliminary score = 3",$K$47)),ISNUMBER(SEARCH("objective = 3     Preliminary score = 2",$K$47)),ISNUMBER(SEARCH("objective = 2     Preliminary score = 3",$K$47)),ISNUMBER(SEARCH("objective = 2     Preliminary score = 2",$K$47)),ISNUMBER(SEARCH("Old score = 3          Preliminary score = 3",$K$47)),ISNUMBER(SEARCH("Old score = 3          Preliminary score = 2",$K$47)),ISNUMBER(SEARCH("Old score = 2          Preliminary score = 3",$K$47)),ISNUMBER(SEARCH("Old score = 2          Preliminary score = 2",$K$47)))</formula>
    </cfRule>
    <cfRule type="expression" dxfId="226" priority="48">
      <formula>OR(ISNUMBER(SEARCH("objective = 3     Preliminary score = 1", $K$47)),ISNUMBER(SEARCH("objective = 3     Preliminary score = 0", $K$47)),ISNUMBER(SEARCH("objective = 1     Preliminary score = 2", $K$47)),ISNUMBER(SEARCH("objective = 1     Preliminary score = 3", $K$47)),ISNUMBER(SEARCH("objective = 0     Preliminary score = 1", $K$47)),ISNUMBER(SEARCH("objective = 0     Preliminary score = 2", $K$47)),ISNUMBER(SEARCH("objective = 0     Preliminary score = 3", $K$47)),ISNUMBER(SEARCH("Old score = 3          Preliminary score = 1", $K$47)),ISNUMBER(SEARCH("Old score = 3          Preliminary score = 0", $K$47)),ISNUMBER(SEARCH("Old score = 1          Preliminary score = 2", $K$47)),ISNUMBER(SEARCH("Old score = 1          Preliminary score = 3", $K$47)),ISNUMBER(SEARCH("Old score = 0          Preliminary score = 1", $K$47)),ISNUMBER(SEARCH("Old score = 0          Preliminary score = 2", $K$47)),ISNUMBER(SEARCH("Old score = 0          Preliminary score = 3", $K$47)))</formula>
    </cfRule>
    <cfRule type="expression" dxfId="225" priority="79">
      <formula>OR(ISNUMBER(SEARCH("objective = 2     Preliminary score = 1", $K$47)),ISNUMBER(SEARCH("objective = 2     Preliminary score = 0", $K$47)),ISNUMBER(SEARCH("objective = 1     Preliminary score = 1", $K$47)),ISNUMBER(SEARCH("objective = 1     Preliminary score = 0", $K$47)),ISNUMBER(SEARCH("objective = 0     Preliminary score = 0", $K$47)),ISNUMBER(SEARCH("Old score = 2          Preliminary score = 1", $K$47)),ISNUMBER(SEARCH("Old score = 2          Preliminary score = 0", $K$47)),ISNUMBER(SEARCH("Old score = 1          Preliminary score = 1", $K$47)),ISNUMBER(SEARCH("score = 1          Preliminary score = 0", $K$47)),ISNUMBER(SEARCH("score = 0          Preliminary score = 0", $K$47)))</formula>
    </cfRule>
  </conditionalFormatting>
  <conditionalFormatting sqref="K50">
    <cfRule type="expression" dxfId="224" priority="14">
      <formula>OR(ISNUMBER(SEARCH("objective = 3     Preliminary score = 3",$K$50)),ISNUMBER(SEARCH("objective = 3     Preliminary score = 2",$K$50)),ISNUMBER(SEARCH("objective = 2     Preliminary score = 3",$K$50)),ISNUMBER(SEARCH("objective = 2     Preliminary score = 2",$K$50)),ISNUMBER(SEARCH("Old score = 3          Preliminary score = 3",$K$50)),ISNUMBER(SEARCH("Old score = 3          Preliminary score = 2",$K$50)),ISNUMBER(SEARCH("Old score = 2          Preliminary score = 3",$K$50)),ISNUMBER(SEARCH("Old score = 2          Preliminary score = 2",$K$50)))</formula>
    </cfRule>
    <cfRule type="expression" dxfId="223" priority="45">
      <formula>OR(ISNUMBER(SEARCH("objective = 3     Preliminary score = 1", $K$50)),ISNUMBER(SEARCH("objective = 3     Preliminary score = 0", $K$50)),ISNUMBER(SEARCH("objective = 1     Preliminary score = 2", $K$50)),ISNUMBER(SEARCH("objective = 1     Preliminary score = 3", $K$50)),ISNUMBER(SEARCH("objective = 0     Preliminary score = 1", $K$50)),ISNUMBER(SEARCH("objective = 0     Preliminary score = 2", $K$50)),ISNUMBER(SEARCH("objective = 0     Preliminary score = 3", $K$50)),ISNUMBER(SEARCH("Old score = 3          Preliminary score = 1", $K$50)),ISNUMBER(SEARCH("Old score = 3          Preliminary score = 0", $K$50)),ISNUMBER(SEARCH("Old score = 1          Preliminary score = 2", $K$50)),ISNUMBER(SEARCH("Old score = 1          Preliminary score = 3", $K$50)),ISNUMBER(SEARCH("Old score = 0          Preliminary score = 1", $K$50)),ISNUMBER(SEARCH("Old score = 0          Preliminary score = 2", $K$50)),ISNUMBER(SEARCH("Old score = 0          Preliminary score = 3", $K$50)))</formula>
    </cfRule>
    <cfRule type="expression" dxfId="222" priority="76">
      <formula>OR(ISNUMBER(SEARCH("objective = 2     Preliminary score = 1", $K$50)),ISNUMBER(SEARCH("objective = 2     Preliminary score = 0", $K$50)),ISNUMBER(SEARCH("objective = 1     Preliminary score = 1", $K$50)),ISNUMBER(SEARCH("objective = 1     Preliminary score = 0", $K$50)),ISNUMBER(SEARCH("objective = 0     Preliminary score = 0", $K$50)),ISNUMBER(SEARCH("Old score = 2          Preliminary score = 1", $K$50)),ISNUMBER(SEARCH("Old score = 2          Preliminary score = 0", $K$50)),ISNUMBER(SEARCH("Old score = 1          Preliminary score = 1", $K$50)),ISNUMBER(SEARCH("score = 1          Preliminary score = 0", $K$50)),ISNUMBER(SEARCH("score = 0          Preliminary score = 0", $K$50)))</formula>
    </cfRule>
  </conditionalFormatting>
  <conditionalFormatting sqref="K51">
    <cfRule type="expression" dxfId="221" priority="13">
      <formula>OR(ISNUMBER(SEARCH("objective = 3     Preliminary score = 3",$K$51)),ISNUMBER(SEARCH("objective = 3     Preliminary score = 2",$K$51)),ISNUMBER(SEARCH("objective = 2     Preliminary score = 3",$K$51)),ISNUMBER(SEARCH("objective = 2     Preliminary score = 2",$K$51)),ISNUMBER(SEARCH("Old score = 3          Preliminary score = 3",$K$51)),ISNUMBER(SEARCH("Old score = 3          Preliminary score = 2",$K$51)),ISNUMBER(SEARCH("Old score = 2          Preliminary score = 3",$K$51)),ISNUMBER(SEARCH("Old score = 2          Preliminary score = 2",$K$51)))</formula>
    </cfRule>
    <cfRule type="expression" dxfId="220" priority="44">
      <formula>OR(ISNUMBER(SEARCH("objective = 3     Preliminary score = 1", $K$51)),ISNUMBER(SEARCH("objective = 3     Preliminary score = 0", $K$51)),ISNUMBER(SEARCH("objective = 1     Preliminary score = 2", $K$51)),ISNUMBER(SEARCH("objective = 1     Preliminary score = 3", $K$51)),ISNUMBER(SEARCH("objective = 0     Preliminary score = 1", $K$51)),ISNUMBER(SEARCH("objective = 0     Preliminary score = 2", $K$51)),ISNUMBER(SEARCH("objective = 0     Preliminary score = 3", $K$51)),ISNUMBER(SEARCH("Old score = 3          Preliminary score = 1", $K$51)),ISNUMBER(SEARCH("Old score = 3          Preliminary score = 0", $K$51)),ISNUMBER(SEARCH("Old score = 1          Preliminary score = 2", $K$51)),ISNUMBER(SEARCH("Old score = 1          Preliminary score = 3", $K$51)),ISNUMBER(SEARCH("Old score = 0          Preliminary score = 1", $K$51)),ISNUMBER(SEARCH("Old score = 0          Preliminary score = 2", $K$51)),ISNUMBER(SEARCH("Old score = 0          Preliminary score = 3", $K$51)))</formula>
    </cfRule>
    <cfRule type="expression" dxfId="219" priority="75">
      <formula>OR(ISNUMBER(SEARCH("objective = 2     Preliminary score = 1", $K$51)),ISNUMBER(SEARCH("objective = 2     Preliminary score = 0", $K$51)),ISNUMBER(SEARCH("objective = 1     Preliminary score = 1", $K$51)),ISNUMBER(SEARCH("objective = 1     Preliminary score = 0", $K$51)),ISNUMBER(SEARCH("objective = 0     Preliminary score = 0", $K$51)),ISNUMBER(SEARCH("Old score = 2          Preliminary score = 1", $K$51)),ISNUMBER(SEARCH("Old score = 2          Preliminary score = 0", $K$51)),ISNUMBER(SEARCH("Old score = 1          Preliminary score = 1", $K$51)),ISNUMBER(SEARCH("score = 1          Preliminary score = 0", $K$51)),ISNUMBER(SEARCH("score = 0          Preliminary score = 0", $K$51)))</formula>
    </cfRule>
  </conditionalFormatting>
  <conditionalFormatting sqref="K53">
    <cfRule type="expression" dxfId="218" priority="11">
      <formula>OR(ISNUMBER(SEARCH("objective = 3     Preliminary score = 3",$K$53)),ISNUMBER(SEARCH("objective = 3     Preliminary score = 2",$K$53)),ISNUMBER(SEARCH("objective = 2     Preliminary score = 3",$K$53)),ISNUMBER(SEARCH("objective = 2     Preliminary score = 2",$K$53)),ISNUMBER(SEARCH("Old score = 3          Preliminary score = 3",$K$53)),ISNUMBER(SEARCH("Old score = 3          Preliminary score = 2",$K$53)),ISNUMBER(SEARCH("Old score = 2          Preliminary score = 3",$K$53)),ISNUMBER(SEARCH("Old score = 2          Preliminary score = 2",$K$53)))</formula>
    </cfRule>
    <cfRule type="expression" dxfId="217" priority="42">
      <formula>OR(ISNUMBER(SEARCH("objective = 3     Preliminary score = 1", $K$53)),ISNUMBER(SEARCH("objective = 3     Preliminary score = 0", $K$53)),ISNUMBER(SEARCH("objective = 1     Preliminary score = 2", $K$53)),ISNUMBER(SEARCH("objective = 1     Preliminary score = 3", $K$53)),ISNUMBER(SEARCH("objective = 0     Preliminary score = 1", $K$53)),ISNUMBER(SEARCH("objective = 0     Preliminary score = 2", $K$53)),ISNUMBER(SEARCH("objective = 0     Preliminary score = 3", $K$53)),ISNUMBER(SEARCH("Old score = 3          Preliminary score = 1", $K$53)),ISNUMBER(SEARCH("Old score = 3          Preliminary score = 0", $K$53)),ISNUMBER(SEARCH("Old score = 1          Preliminary score = 2", $K$53)),ISNUMBER(SEARCH("Old score = 1          Preliminary score = 3", $K$53)),ISNUMBER(SEARCH("Old score = 0          Preliminary score = 1", $K$53)),ISNUMBER(SEARCH("Old score = 0          Preliminary score = 2", $K$53)),ISNUMBER(SEARCH("Old score = 0          Preliminary score = 3", $K$53)))</formula>
    </cfRule>
    <cfRule type="expression" dxfId="216" priority="73">
      <formula>OR(ISNUMBER(SEARCH("objective = 2     Preliminary score = 1", $K$53)),ISNUMBER(SEARCH("objective = 2     Preliminary score = 0", $K$53)),ISNUMBER(SEARCH("objective = 1     Preliminary score = 1", $K$53)),ISNUMBER(SEARCH("objective = 1     Preliminary score = 0", $K$53)),ISNUMBER(SEARCH("objective = 0     Preliminary score = 0", $K$53)),ISNUMBER(SEARCH("Old score = 2          Preliminary score = 1", $K$53)),ISNUMBER(SEARCH("Old score = 2          Preliminary score = 0", $K$53)),ISNUMBER(SEARCH("Old score = 1          Preliminary score = 1", $K$53)),ISNUMBER(SEARCH("score = 1          Preliminary score = 0", $K$53)),ISNUMBER(SEARCH("score = 0          Preliminary score = 0", $K$53)))</formula>
    </cfRule>
  </conditionalFormatting>
  <conditionalFormatting sqref="K55">
    <cfRule type="expression" dxfId="215" priority="9">
      <formula>OR(ISNUMBER(SEARCH("objective = 3     Preliminary score = 3",$K$55)),ISNUMBER(SEARCH("objective = 3     Preliminary score = 2",$K$55)),ISNUMBER(SEARCH("objective = 2     Preliminary score = 3",$K$55)),ISNUMBER(SEARCH("objective = 2     Preliminary score = 2",$K$55)),ISNUMBER(SEARCH("Old score = 3          Preliminary score = 3",$K$55)),ISNUMBER(SEARCH("Old score = 3          Preliminary score = 2",$K$55)),ISNUMBER(SEARCH("Old score = 2          Preliminary score = 3",$K$55)),ISNUMBER(SEARCH("Old score = 2          Preliminary score = 2",$K$55)))</formula>
    </cfRule>
    <cfRule type="expression" dxfId="214" priority="40">
      <formula>OR(ISNUMBER(SEARCH("objective = 3     Preliminary score = 1", $K$55)),ISNUMBER(SEARCH("objective = 3     Preliminary score = 0", $K$55)),ISNUMBER(SEARCH("objective = 1     Preliminary score = 2", $K$55)),ISNUMBER(SEARCH("objective = 1     Preliminary score = 3", $K$55)),ISNUMBER(SEARCH("objective = 0     Preliminary score = 1", $K$55)),ISNUMBER(SEARCH("objective = 0     Preliminary score = 2", $K$55)),ISNUMBER(SEARCH("objective = 0     Preliminary score = 3", $K$55)),ISNUMBER(SEARCH("Old score = 3          Preliminary score = 1", $K$55)),ISNUMBER(SEARCH("Old score = 3          Preliminary score = 0", $K$55)),ISNUMBER(SEARCH("Old score = 1          Preliminary score = 2", $K$55)),ISNUMBER(SEARCH("Old score = 1          Preliminary score = 3", $K$55)),ISNUMBER(SEARCH("Old score = 0          Preliminary score = 1", $K$55)),ISNUMBER(SEARCH("Old score = 0          Preliminary score = 2", $K$55)),ISNUMBER(SEARCH("Old score = 0          Preliminary score = 3", $K$55)))</formula>
    </cfRule>
    <cfRule type="expression" dxfId="213" priority="71">
      <formula>OR(ISNUMBER(SEARCH("objective = 2     Preliminary score = 1", $K$55)),ISNUMBER(SEARCH("objective = 2     Preliminary score = 0", $K$55)),ISNUMBER(SEARCH("objective = 1     Preliminary score = 1", $K$55)),ISNUMBER(SEARCH("objective = 1     Preliminary score = 0", $K$55)),ISNUMBER(SEARCH("objective = 0     Preliminary score = 0", $K$55)),ISNUMBER(SEARCH("Old score = 2          Preliminary score = 1", $K$55)),ISNUMBER(SEARCH("Old score = 2          Preliminary score = 0", $K$55)),ISNUMBER(SEARCH("Old score = 1          Preliminary score = 1", $K$55)),ISNUMBER(SEARCH("score = 1          Preliminary score = 0", $K$55)),ISNUMBER(SEARCH("score = 0          Preliminary score = 0", $K$55)))</formula>
    </cfRule>
  </conditionalFormatting>
  <conditionalFormatting sqref="G26:G56">
    <cfRule type="expression" dxfId="212" priority="920">
      <formula>AND(COUNTIF($L$26:$L$56,"")&lt;31, COUNTIF($G$26:$G$56,"")&gt;0)</formula>
    </cfRule>
    <cfRule type="containsText" priority="2" stopIfTrue="1" operator="containsText" text="a">
      <formula>NOT(ISERROR(SEARCH("a",G26)))</formula>
    </cfRule>
  </conditionalFormatting>
  <pageMargins left="0.7" right="0.7" top="0.75" bottom="0.75" header="0.3" footer="0.3"/>
  <pageSetup scale="34"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304" id="{00000000-000E-0000-0400-000061000000}">
            <xm:f>OR(AND($D$20&lt;&gt;"Year 3",$J$14&lt;&gt;3), AND(OR($D$20="Year 3",$J$14=3), OR(EN_PF_YearZ!$D$20="Year 2", EN_PF_YearZ!$J$14=2, EN_PF_Year3!$D$20="Year 2", EN_PF_Year3!$J$14=2, EN_PF_YearZ!$D$20="", AND(EN_PF_YearZ!$J$14="", EN_PF_Year3!$D$20="", EN_PF_Year3!$J$14=""))))</xm:f>
            <x14:dxf>
              <font>
                <color theme="0"/>
              </font>
              <fill>
                <patternFill>
                  <fgColor theme="0"/>
                  <bgColor theme="0"/>
                </patternFill>
              </fill>
              <border>
                <left/>
                <right/>
                <top/>
                <bottom/>
                <vertical/>
                <horizontal/>
              </border>
            </x14:dxf>
          </x14:cfRule>
          <xm:sqref>G18</xm:sqref>
        </x14:conditionalFormatting>
        <x14:conditionalFormatting xmlns:xm="http://schemas.microsoft.com/office/excel/2006/main">
          <x14:cfRule type="expression" priority="324" id="{9569DE46-D9DF-4A70-BCA3-61E3C19D6A70}">
            <xm:f>OR(AND(J14&lt;&gt;"", J14&lt;&gt;"", J14=J14), AND(J14&lt;&gt;"", EN_PF_YearZ!J14&lt;&gt;"", J14=EN_PF_YearZ!J14), AND(J14="", $G$20&lt;&gt;"", OR($D$15="", $D$15= "No")))</xm:f>
            <x14:dxf>
              <font>
                <color rgb="FFA50021"/>
              </font>
              <fill>
                <patternFill>
                  <bgColor rgb="FFFFC7CE"/>
                </patternFill>
              </fill>
            </x14:dxf>
          </x14:cfRule>
          <xm:sqref>J14</xm:sqref>
        </x14:conditionalFormatting>
        <x14:conditionalFormatting xmlns:xm="http://schemas.microsoft.com/office/excel/2006/main">
          <x14:cfRule type="expression" priority="201" id="{358AC60F-248F-4C8D-9394-719527E6C018}">
            <xm:f>OR(AND(EN_PF_Year3!$D$20&lt;&gt;"",$D$20&lt;&gt;"",EN_PF_Year3!$D$20=$D$20),AND($D$20&lt;&gt;"",EN_PF_YearZ!$D$20&lt;&gt;"",$D$20=EN_PF_YearZ!$D$20),AND($D$20="",OR(SUMPRODUCT(--($G$26:G56&lt;&gt;""))=31,SUMPRODUCT(--($L$26:$L$56&lt;&gt;""))=31)), AND(OR($D$20="Year 3",$J$14=3), EN_PF_Year3!$D$20&lt;&gt;"Year 2", EN_PF_Year3!$J$14&lt;&gt;2, EN_PF_YearZ!$D$20&lt;&gt;"Year 2", EN_PF_YearZ!$J$14&lt;&gt;2, OR(EN_PF_Year3!$D$20="Year 1", EN_PF_Year3!$J$14=1, EN_PF_YearZ!$D$20="Year 1", EN_PF_YearZ!$J$14=1)))</xm:f>
            <x14:dxf>
              <font>
                <color rgb="FFA50021"/>
              </font>
              <fill>
                <patternFill>
                  <bgColor rgb="FFFFC7CE"/>
                </patternFill>
              </fill>
            </x14:dxf>
          </x14:cfRule>
          <xm:sqref>D20</xm:sqref>
        </x14:conditionalFormatting>
        <x14:conditionalFormatting xmlns:xm="http://schemas.microsoft.com/office/excel/2006/main">
          <x14:cfRule type="expression" priority="199" id="{F7EBB0E8-FC17-4C86-BA33-AA9C106EF95A}">
            <xm:f>OR(AND($D$14&lt;&gt;"",$D$14&lt;&gt;"",$D$14&lt;&gt;$D$14),AND($D$14&lt;&gt;"",EN_PF_YearZ!$D$14&lt;&gt;"",$D$14&lt;&gt;EN_PF_YearZ!$D$14),AND($D$14="",OR(SUMPRODUCT(--($G$26:G56&lt;&gt;""))=31,SUMPRODUCT(--($L$26:$L$56&lt;&gt;""))=31)))</xm:f>
            <x14:dxf>
              <font>
                <color rgb="FFA50021"/>
              </font>
              <fill>
                <patternFill>
                  <bgColor rgb="FFFFC7CE"/>
                </patternFill>
              </fill>
            </x14:dxf>
          </x14:cfRule>
          <xm:sqref>D14</xm:sqref>
        </x14:conditionalFormatting>
        <x14:conditionalFormatting xmlns:xm="http://schemas.microsoft.com/office/excel/2006/main">
          <x14:cfRule type="expression" priority="207" id="{622FF71B-20F0-4A5C-B631-D891C1FD2E64}">
            <xm:f>OR(AND(D15="",COUNTIF($G$26:$G$56,"")&lt;31), AND(EN_PF_Year3!$D$15&lt;&gt;"",$D$15&lt;&gt;"",EN_PF_Year3!$D$15&lt;&gt;$D$15),AND($D$15&lt;&gt;"",EN_PF_YearZ!$D$15&lt;&gt;"",$D$15&lt;&gt;EN_PF_YearZ!$D$15),AND($D$15="",OR(SUMPRODUCT(--($G$26:G58&lt;&gt;""))=31,SUMPRODUCT(--($L$26:$L$56&lt;&gt;""))=31)))</xm:f>
            <x14:dxf>
              <font>
                <color rgb="FFA50021"/>
              </font>
              <fill>
                <patternFill>
                  <bgColor rgb="FFFFC7CE"/>
                </patternFill>
              </fill>
            </x14:dxf>
          </x14:cfRule>
          <xm:sqref>D15</xm:sqref>
        </x14:conditionalFormatting>
        <x14:conditionalFormatting xmlns:xm="http://schemas.microsoft.com/office/excel/2006/main">
          <x14:cfRule type="expression" priority="855" id="{BE7825EA-32E3-42A8-AE89-17320C92B81F}">
            <xm:f>AND(OR($D$20="Year 3",$J$14=3), EN_PF_Year3!$D$20&lt;&gt;"Year 2", EN_PF_Year3!$J$14&lt;&gt;2, EN_PF_YearZ!$D$20&lt;&gt;"Year 2", EN_PF_YearZ!$J$14&lt;&gt;2, OR(EN_PF_Year3!$D$20="Year 1", EN_PF_Year3!$J$14=1, EN_PF_YearZ!$D$20="Year 1", EN_PF_YearZ!$J$14=1))</xm:f>
            <x14:dxf>
              <font>
                <color rgb="FF9C0006"/>
              </font>
              <fill>
                <patternFill>
                  <bgColor rgb="FFFFC7CE"/>
                </patternFill>
              </fill>
            </x14:dxf>
          </x14:cfRule>
          <xm:sqref>L26:L56</xm:sqref>
        </x14:conditionalFormatting>
      </x14:conditionalFormattings>
    </ext>
    <ext xmlns:x14="http://schemas.microsoft.com/office/spreadsheetml/2009/9/main" uri="{CCE6A557-97BC-4b89-ADB6-D9C93CAAB3DF}">
      <x14:dataValidations xmlns:xm="http://schemas.microsoft.com/office/excel/2006/main" count="44">
        <x14:dataValidation type="list" allowBlank="1" showInputMessage="1" showErrorMessage="1" xr:uid="{D62A5D1C-7F96-4EC1-AF9B-42737BEB5945}">
          <x14:formula1>
            <xm:f>EN_PF_DROPDOWN!$A$27:$A$29</xm:f>
          </x14:formula1>
          <xm:sqref>F7:F9</xm:sqref>
        </x14:dataValidation>
        <x14:dataValidation type="list" allowBlank="1" showInputMessage="1" showErrorMessage="1" xr:uid="{FDCEF3B0-4500-4F32-A40F-616F141389E5}">
          <x14:formula1>
            <xm:f>EN_PF_DROPDOWN!$O$48:$O$50</xm:f>
          </x14:formula1>
          <xm:sqref>G56</xm:sqref>
        </x14:dataValidation>
        <x14:dataValidation type="list" allowBlank="1" showInputMessage="1" showErrorMessage="1" xr:uid="{4492EBBC-AF3D-4C13-8476-F828292C010C}">
          <x14:formula1>
            <xm:f>EN_PF_DROPDOWN!$O$43:$O$45</xm:f>
          </x14:formula1>
          <xm:sqref>G55</xm:sqref>
        </x14:dataValidation>
        <x14:dataValidation type="list" allowBlank="1" showInputMessage="1" showErrorMessage="1" xr:uid="{A3D42EDA-E21E-4AB0-8A58-AC73F92E6C17}">
          <x14:formula1>
            <xm:f>EN_PF_DROPDOWN!$O$38:$O$40</xm:f>
          </x14:formula1>
          <xm:sqref>G54</xm:sqref>
        </x14:dataValidation>
        <x14:dataValidation type="list" allowBlank="1" showInputMessage="1" showErrorMessage="1" xr:uid="{EF8E83DB-A61E-45B7-B876-F7BCA95205DF}">
          <x14:formula1>
            <xm:f>EN_PF_DROPDOWN!$O$32:$O$35</xm:f>
          </x14:formula1>
          <xm:sqref>G53</xm:sqref>
        </x14:dataValidation>
        <x14:dataValidation type="list" allowBlank="1" showInputMessage="1" showErrorMessage="1" xr:uid="{5D412B3F-6AE8-4FA1-8D78-75609691E8A6}">
          <x14:formula1>
            <xm:f>EN_PF_DROPDOWN!$O$26:$O$29</xm:f>
          </x14:formula1>
          <xm:sqref>G52</xm:sqref>
        </x14:dataValidation>
        <x14:dataValidation type="list" allowBlank="1" showInputMessage="1" showErrorMessage="1" xr:uid="{F0174DE2-0C61-4CF0-B33E-3E93DAF22306}">
          <x14:formula1>
            <xm:f>EN_PF_DROPDOWN!$O$20:$O$23</xm:f>
          </x14:formula1>
          <xm:sqref>G51</xm:sqref>
        </x14:dataValidation>
        <x14:dataValidation type="list" allowBlank="1" showInputMessage="1" showErrorMessage="1" xr:uid="{42A3C01F-927E-4217-B2DF-2D6BDE923A77}">
          <x14:formula1>
            <xm:f>EN_PF_DROPDOWN!$O$15:$O$17</xm:f>
          </x14:formula1>
          <xm:sqref>G50</xm:sqref>
        </x14:dataValidation>
        <x14:dataValidation type="list" allowBlank="1" showInputMessage="1" showErrorMessage="1" xr:uid="{CCEBAC81-C7B2-44A4-8A7E-377C1A289AE4}">
          <x14:formula1>
            <xm:f>EN_PF_DROPDOWN!$O$9:$O$12</xm:f>
          </x14:formula1>
          <xm:sqref>G49</xm:sqref>
        </x14:dataValidation>
        <x14:dataValidation type="list" allowBlank="1" showInputMessage="1" showErrorMessage="1" xr:uid="{BCE02BB5-240F-45CA-B1A2-63923521C7E5}">
          <x14:formula1>
            <xm:f>EN_PF_DROPDOWN!$O$3:$O$6</xm:f>
          </x14:formula1>
          <xm:sqref>G48</xm:sqref>
        </x14:dataValidation>
        <x14:dataValidation type="list" allowBlank="1" showInputMessage="1" showErrorMessage="1" xr:uid="{3E8E36EA-4E6C-4037-826B-FD59F82C92C0}">
          <x14:formula1>
            <xm:f>EN_PF_DROPDOWN!$K$26:$K$29</xm:f>
          </x14:formula1>
          <xm:sqref>G47</xm:sqref>
        </x14:dataValidation>
        <x14:dataValidation type="list" allowBlank="1" showInputMessage="1" showErrorMessage="1" xr:uid="{6EA6AB0D-A850-4445-A97A-BB90A53D0F8B}">
          <x14:formula1>
            <xm:f>EN_PF_DROPDOWN!$K$20:$K$23</xm:f>
          </x14:formula1>
          <xm:sqref>G46</xm:sqref>
        </x14:dataValidation>
        <x14:dataValidation type="list" allowBlank="1" showInputMessage="1" showErrorMessage="1" xr:uid="{9537B198-F3A3-48D0-989E-AC37BF52246F}">
          <x14:formula1>
            <xm:f>EN_PF_DROPDOWN!$K$14:$K$17</xm:f>
          </x14:formula1>
          <xm:sqref>G45</xm:sqref>
        </x14:dataValidation>
        <x14:dataValidation type="list" allowBlank="1" showInputMessage="1" showErrorMessage="1" xr:uid="{25384AE7-7A89-4689-B16D-7B09C2FABF7E}">
          <x14:formula1>
            <xm:f>EN_PF_DROPDOWN!$K$8:$K$10</xm:f>
          </x14:formula1>
          <xm:sqref>G44</xm:sqref>
        </x14:dataValidation>
        <x14:dataValidation type="list" allowBlank="1" showInputMessage="1" showErrorMessage="1" xr:uid="{B89AEBA1-414E-4246-9415-31B35B4359F8}">
          <x14:formula1>
            <xm:f>EN_PF_DROPDOWN!$K$3:$K$5</xm:f>
          </x14:formula1>
          <xm:sqref>G43</xm:sqref>
        </x14:dataValidation>
        <x14:dataValidation type="list" allowBlank="1" showInputMessage="1" showErrorMessage="1" xr:uid="{28DF9B82-D2EB-4A4E-8925-D5A09CE707A9}">
          <x14:formula1>
            <xm:f>EN_PF_DROPDOWN!$G$50:$G$53</xm:f>
          </x14:formula1>
          <xm:sqref>G42</xm:sqref>
        </x14:dataValidation>
        <x14:dataValidation type="list" allowBlank="1" showInputMessage="1" showErrorMessage="1" xr:uid="{955F8E20-6EF4-41A5-9501-76902F50CE40}">
          <x14:formula1>
            <xm:f>EN_PF_DROPDOWN!$G$44:$G$47</xm:f>
          </x14:formula1>
          <xm:sqref>G41</xm:sqref>
        </x14:dataValidation>
        <x14:dataValidation type="list" allowBlank="1" showInputMessage="1" showErrorMessage="1" xr:uid="{8C86C0A1-17DE-48FF-8A5E-E75A6D65D931}">
          <x14:formula1>
            <xm:f>EN_PF_DROPDOWN!$G$38:$G$41</xm:f>
          </x14:formula1>
          <xm:sqref>G40</xm:sqref>
        </x14:dataValidation>
        <x14:dataValidation type="list" allowBlank="1" showInputMessage="1" showErrorMessage="1" xr:uid="{A284D28D-84F3-4135-9D6B-78196E22EB59}">
          <x14:formula1>
            <xm:f>EN_PF_DROPDOWN!$G$32:$G$35</xm:f>
          </x14:formula1>
          <xm:sqref>G39</xm:sqref>
        </x14:dataValidation>
        <x14:dataValidation type="list" allowBlank="1" showInputMessage="1" showErrorMessage="1" xr:uid="{7AFFBA71-8F2C-4E30-8A49-0F5E07A8A3C8}">
          <x14:formula1>
            <xm:f>EN_PF_DROPDOWN!$G$26:$G$29</xm:f>
          </x14:formula1>
          <xm:sqref>G38</xm:sqref>
        </x14:dataValidation>
        <x14:dataValidation type="list" allowBlank="1" showInputMessage="1" showErrorMessage="1" xr:uid="{CE01AA61-D24F-4008-B3F6-010A00ABAFEA}">
          <x14:formula1>
            <xm:f>EN_PF_DROPDOWN!$G$20:$G$23</xm:f>
          </x14:formula1>
          <xm:sqref>G37</xm:sqref>
        </x14:dataValidation>
        <x14:dataValidation type="list" allowBlank="1" showInputMessage="1" showErrorMessage="1" xr:uid="{9A7797C7-B847-4017-A5AE-D030E7D1CF74}">
          <x14:formula1>
            <xm:f>EN_PF_DROPDOWN!$G$14:$G$17</xm:f>
          </x14:formula1>
          <xm:sqref>G36</xm:sqref>
        </x14:dataValidation>
        <x14:dataValidation type="list" allowBlank="1" showInputMessage="1" showErrorMessage="1" xr:uid="{59D2D1CB-7980-49C7-B840-F186B94B277C}">
          <x14:formula1>
            <xm:f>EN_PF_DROPDOWN!$G$9:$G$11</xm:f>
          </x14:formula1>
          <xm:sqref>G35</xm:sqref>
        </x14:dataValidation>
        <x14:dataValidation type="list" allowBlank="1" showInputMessage="1" showErrorMessage="1" xr:uid="{16732B9E-1EE4-4E76-B9D3-4E9C5F72D8AA}">
          <x14:formula1>
            <xm:f>EN_PF_DROPDOWN!$A$33:$A$35</xm:f>
          </x14:formula1>
          <xm:sqref>J14</xm:sqref>
        </x14:dataValidation>
        <x14:dataValidation type="list" allowBlank="1" showInputMessage="1" showErrorMessage="1" xr:uid="{EBE6A169-90D9-46EB-B252-A79ADA8467A5}">
          <x14:formula1>
            <xm:f>EN_PF_DROPDOWN!$G$3:$G$6</xm:f>
          </x14:formula1>
          <xm:sqref>G34</xm:sqref>
        </x14:dataValidation>
        <x14:dataValidation type="list" allowBlank="1" showInputMessage="1" showErrorMessage="1" xr:uid="{07F2D8ED-6305-416A-B9D0-22F7BB99D22F}">
          <x14:formula1>
            <xm:f>EN_PF_DROPDOWN!$C$41:$C$44</xm:f>
          </x14:formula1>
          <xm:sqref>G33</xm:sqref>
        </x14:dataValidation>
        <x14:dataValidation type="list" allowBlank="1" showInputMessage="1" showErrorMessage="1" xr:uid="{72E31119-6B71-4567-AAA1-85E90FCDEA81}">
          <x14:formula1>
            <xm:f>EN_PF_DROPDOWN!$C$37:$C$38</xm:f>
          </x14:formula1>
          <xm:sqref>G32</xm:sqref>
        </x14:dataValidation>
        <x14:dataValidation type="list" allowBlank="1" showInputMessage="1" showErrorMessage="1" xr:uid="{83438DDB-7531-48A3-BEA8-04856201F496}">
          <x14:formula1>
            <xm:f>EN_PF_DROPDOWN!$C$31:$C$34</xm:f>
          </x14:formula1>
          <xm:sqref>G31</xm:sqref>
        </x14:dataValidation>
        <x14:dataValidation type="list" allowBlank="1" showInputMessage="1" showErrorMessage="1" xr:uid="{173AFDF1-D309-4159-9476-7275E4966EF4}">
          <x14:formula1>
            <xm:f>EN_PF_DROPDOWN!$C$19:$C$22</xm:f>
          </x14:formula1>
          <xm:sqref>G29</xm:sqref>
        </x14:dataValidation>
        <x14:dataValidation type="list" allowBlank="1" showInputMessage="1" showErrorMessage="1" xr:uid="{DD6781D2-485C-40C4-9569-6175978A5493}">
          <x14:formula1>
            <xm:f>EN_PF_DROPDOWN!$C$15:$C$17</xm:f>
          </x14:formula1>
          <xm:sqref>G28</xm:sqref>
        </x14:dataValidation>
        <x14:dataValidation type="list" allowBlank="1" showInputMessage="1" showErrorMessage="1" xr:uid="{D3A2EA67-4885-4DCD-8EB0-7923D64F6F6E}">
          <x14:formula1>
            <xm:f>EN_PF_DROPDOWN!$C$9:$C$12</xm:f>
          </x14:formula1>
          <xm:sqref>G27</xm:sqref>
        </x14:dataValidation>
        <x14:dataValidation type="list" allowBlank="1" showInputMessage="1" showErrorMessage="1" xr:uid="{6B491B35-437A-472D-9424-211D2D66B43A}">
          <x14:formula1>
            <xm:f>EN_PF_DROPDOWN!$C$3:$C$6</xm:f>
          </x14:formula1>
          <xm:sqref>G26</xm:sqref>
        </x14:dataValidation>
        <x14:dataValidation type="list" allowBlank="1" showInputMessage="1" showErrorMessage="1" xr:uid="{9C44EDCA-71F9-4DE0-A2E3-239C61B6640B}">
          <x14:formula1>
            <xm:f>EN_PF_DROPDOWN!$A$15:$A$24</xm:f>
          </x14:formula1>
          <xm:sqref>J13</xm:sqref>
        </x14:dataValidation>
        <x14:dataValidation type="list" allowBlank="1" showInputMessage="1" showErrorMessage="1" xr:uid="{FAAA72C8-1EF2-4CD9-973F-177FB29DC5D8}">
          <x14:formula1>
            <xm:f>EN_PF_DROPDOWN!$A$9:$A$11</xm:f>
          </x14:formula1>
          <xm:sqref>D20</xm:sqref>
        </x14:dataValidation>
        <x14:dataValidation type="list" allowBlank="1" showInputMessage="1" showErrorMessage="1" xr:uid="{DE56D957-5BF2-4246-848B-9D04BD8CE3E8}">
          <x14:formula1>
            <xm:f>EN_PF_DROPDOWN!$A$3:$A$6</xm:f>
          </x14:formula1>
          <xm:sqref>L26:L27 L51:L53 L33:L34 L36:L42 L44:L49 L29:L30</xm:sqref>
        </x14:dataValidation>
        <x14:dataValidation type="list" allowBlank="1" showInputMessage="1" showErrorMessage="1" xr:uid="{CDF82F2C-0166-4F96-A055-E086202B73AD}">
          <x14:formula1>
            <xm:f>EN_PF_DROPDOWN!$C$25:$C$28</xm:f>
          </x14:formula1>
          <xm:sqref>G30</xm:sqref>
        </x14:dataValidation>
        <x14:dataValidation type="list" allowBlank="1" showInputMessage="1" showErrorMessage="1" xr:uid="{6E7C7E65-4F35-4476-87BD-1800C6871676}">
          <x14:formula1>
            <xm:f>EN_PF_DROPDOWN!$A$57:$A$59</xm:f>
          </x14:formula1>
          <xm:sqref>D9</xm:sqref>
        </x14:dataValidation>
        <x14:dataValidation type="list" allowBlank="1" showInputMessage="1" showErrorMessage="1" xr:uid="{799D64DE-9803-42B7-B453-8B959C5C4DCA}">
          <x14:formula1>
            <xm:f>EN_PF_DROPDOWN!$A$61:$A$62</xm:f>
          </x14:formula1>
          <xm:sqref>D14:D15</xm:sqref>
        </x14:dataValidation>
        <x14:dataValidation type="list" allowBlank="1" showInputMessage="1" showErrorMessage="1" xr:uid="{ACAE46A0-F72C-4E74-B6D2-CFAF4176F083}">
          <x14:formula1>
            <xm:f>EN_PF_DROPDOWN!$A$3:$A$5</xm:f>
          </x14:formula1>
          <xm:sqref>L43 L56</xm:sqref>
        </x14:dataValidation>
        <x14:dataValidation type="list" allowBlank="1" showInputMessage="1" showErrorMessage="1" xr:uid="{B6173D62-1CC8-48A1-BCA6-92D00A302D4C}">
          <x14:formula1>
            <xm:f>EN_PF_DROPDOWN!$B$3:$B$5</xm:f>
          </x14:formula1>
          <xm:sqref>L50 L54:L55</xm:sqref>
        </x14:dataValidation>
        <x14:dataValidation type="list" allowBlank="1" showInputMessage="1" showErrorMessage="1" xr:uid="{2153B0A0-97D9-4EB1-9C37-C7D45BA797F7}">
          <x14:formula1>
            <xm:f>EN_PF_DROPDOWN!$A$7:$C$7</xm:f>
          </x14:formula1>
          <xm:sqref>L28 L35</xm:sqref>
        </x14:dataValidation>
        <x14:dataValidation type="list" allowBlank="1" showInputMessage="1" showErrorMessage="1" xr:uid="{F02DA0B0-20FB-47E6-860F-7E239B1507EA}">
          <x14:formula1>
            <xm:f>EN_PF_DROPDOWN!$A$7:$B$7</xm:f>
          </x14:formula1>
          <xm:sqref>L31:L32</xm:sqref>
        </x14:dataValidation>
        <x14:dataValidation type="list" allowBlank="1" showInputMessage="1" showErrorMessage="1" xr:uid="{15A50402-70E9-4D52-8B57-5D5726F562D7}">
          <x14:formula1>
            <xm:f>EN_PF_DROPDOWN!$C$61:$C$62</xm:f>
          </x14:formula1>
          <xm:sqref>D21</xm:sqref>
        </x14:dataValidation>
        <x14:dataValidation type="list" allowBlank="1" showInputMessage="1" showErrorMessage="1" xr:uid="{EB1FD94F-519C-421D-AAD4-5611ECA2DFD2}">
          <x14:formula1>
            <xm:f>List_CCM_Names!$A$1:$A$125</xm:f>
          </x14:formula1>
          <xm:sqref>D13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6E3EA-F2C0-4047-A79D-AA651247761D}">
  <sheetPr codeName="Sheet4">
    <tabColor rgb="FFFFC000"/>
    <pageSetUpPr fitToPage="1"/>
  </sheetPr>
  <dimension ref="A1:AA100"/>
  <sheetViews>
    <sheetView zoomScaleNormal="100" workbookViewId="0">
      <selection activeCell="K2" sqref="K2"/>
    </sheetView>
  </sheetViews>
  <sheetFormatPr defaultColWidth="8.625" defaultRowHeight="14.25" x14ac:dyDescent="0.2"/>
  <cols>
    <col min="1" max="1" width="1.625" style="23" customWidth="1"/>
    <col min="2" max="2" width="5.625" style="23" customWidth="1"/>
    <col min="3" max="3" width="30.375" style="23" customWidth="1"/>
    <col min="4" max="4" width="15.125" style="23" customWidth="1"/>
    <col min="5" max="5" width="1.625" style="23" customWidth="1"/>
    <col min="6" max="6" width="14.375" style="23" customWidth="1"/>
    <col min="7" max="7" width="55.625" style="23" customWidth="1"/>
    <col min="8" max="8" width="7.625" style="23" customWidth="1"/>
    <col min="9" max="9" width="27.625" style="23" customWidth="1"/>
    <col min="10" max="10" width="25.125" style="23" customWidth="1"/>
    <col min="11" max="11" width="20.625" style="23" customWidth="1"/>
    <col min="12" max="12" width="13.625" style="23" customWidth="1"/>
    <col min="13" max="13" width="27.625" style="23" customWidth="1"/>
    <col min="14" max="18" width="5.875" style="23" customWidth="1"/>
    <col min="19" max="16384" width="8.625" style="23"/>
  </cols>
  <sheetData>
    <row r="1" spans="1:27" x14ac:dyDescent="0.2">
      <c r="A1" s="17"/>
      <c r="B1" s="17"/>
      <c r="C1" s="17"/>
      <c r="D1" s="17"/>
      <c r="E1" s="17"/>
      <c r="F1" s="17"/>
      <c r="G1" s="17"/>
      <c r="H1" s="35" t="b" cm="1">
        <f t="array" ref="H1">OR(AND(G26:G56="", L26:L56=""),AND(OR(G26:G56&lt;&gt;"", L26:L56&lt;&gt;""), OR(OR(D20&lt;&gt;"", J14&lt;&gt;""), AND(D14&lt;&gt;"", D15&lt;&gt;""),AND(EN_PF_Year3!D14&lt;&gt;"",EN_PF_YearY!D14&lt;&gt;"", EN_PF_YearY!D14=EN_PF_Year3!D14),AND(EN_PF_YearY!D14&lt;&gt;"",D14&lt;&gt;"",EN_PF_YearY!D14=D14), AND(EN_PF_Year3!D14&lt;&gt;"",D14&lt;&gt;"",EN_PF_Year3!D14=D14),AND(EN_PF_Year3!D15&lt;&gt;"",D15&lt;&gt;"",EN_PF_Year3!D15=D15),AND(EN_PF_YearY!D15&lt;&gt;"",D15&lt;&gt;"",EN_PF_YearY!D15=D15),AND(EN_PF_YearY!D15&lt;&gt;"",EN_PF_Year3!D15&lt;&gt;"",EN_PF_YearY!D15=EN_PF_Year3!D15),AND(EN_PF_YearY!D15="Yes",EN_PF_Year3!D15="Yes",EN_PF_YearY!D20&lt;&gt;EN_PF_Year3!D20),AND(EN_PF_YearY!D15="Yes",D15="Yes",EN_PF_YearY!D20&lt;&gt;D20),AND(EN_PF_Year3!D15="Yes",D15="Yes",EN_PF_Year3!D20&lt;&gt;D20),AND(EN_PF_Year3!D15="No",D15="No",EN_PF_Year3!J14&lt;&gt;J14),AND(EN_PF_YearY!D15="No",D15="No",EN_PF_YearY!J14&lt;&gt;J14),AND(EN_PF_YearY!D15="No",EN_PF_Year3!D15="No",EN_PF_YearY!J14&lt;&gt;EN_PF_Year3!J14))))</f>
        <v>1</v>
      </c>
      <c r="I1" s="17"/>
      <c r="J1" s="17"/>
      <c r="K1" s="17"/>
      <c r="L1" s="17"/>
      <c r="M1" s="17"/>
      <c r="N1" s="17"/>
    </row>
    <row r="2" spans="1:27" x14ac:dyDescent="0.2">
      <c r="A2" s="17"/>
      <c r="B2" s="17"/>
      <c r="C2" s="17"/>
      <c r="D2" s="17"/>
      <c r="E2" s="17"/>
      <c r="F2" s="17"/>
      <c r="G2" s="17"/>
      <c r="H2" s="17"/>
      <c r="I2" s="17"/>
      <c r="J2" s="131"/>
      <c r="K2" s="17"/>
      <c r="L2" s="17"/>
      <c r="M2" s="17"/>
      <c r="N2" s="17"/>
    </row>
    <row r="3" spans="1:27" s="1" customFormat="1" ht="33.75" x14ac:dyDescent="0.2">
      <c r="A3" s="2"/>
      <c r="B3" s="2"/>
      <c r="C3" s="2"/>
      <c r="D3" s="2"/>
      <c r="E3" s="2"/>
      <c r="F3" s="2"/>
      <c r="G3" s="2"/>
      <c r="H3" s="2"/>
      <c r="I3" s="17"/>
      <c r="J3" s="238"/>
      <c r="K3" s="2"/>
      <c r="L3" s="2"/>
      <c r="M3" s="2"/>
      <c r="N3" s="2"/>
      <c r="O3" s="3"/>
      <c r="P3" s="3"/>
      <c r="Q3" s="3"/>
      <c r="R3" s="3"/>
      <c r="V3" s="3"/>
      <c r="W3" s="3"/>
      <c r="X3" s="3"/>
      <c r="Y3" s="3"/>
      <c r="Z3" s="3"/>
      <c r="AA3" s="3"/>
    </row>
    <row r="4" spans="1:27" ht="33.75" x14ac:dyDescent="0.2">
      <c r="A4" s="17"/>
      <c r="B4" s="381" t="s">
        <v>152</v>
      </c>
      <c r="C4" s="381"/>
      <c r="D4" s="381"/>
      <c r="E4" s="381"/>
      <c r="F4" s="381"/>
      <c r="G4" s="381"/>
      <c r="H4" s="6"/>
      <c r="I4" s="17"/>
      <c r="J4" s="6"/>
      <c r="K4" s="6"/>
      <c r="L4" s="6"/>
      <c r="M4" s="6"/>
      <c r="N4" s="6"/>
      <c r="O4" s="50"/>
      <c r="P4" s="50"/>
      <c r="Q4" s="50"/>
      <c r="R4" s="3"/>
      <c r="S4" s="3"/>
      <c r="T4" s="3"/>
      <c r="U4" s="3"/>
      <c r="V4" s="3"/>
      <c r="W4" s="3"/>
    </row>
    <row r="5" spans="1:27" ht="15" customHeight="1" thickBot="1" x14ac:dyDescent="0.25">
      <c r="A5" s="17"/>
      <c r="B5" s="17"/>
      <c r="C5" s="17"/>
      <c r="D5" s="17"/>
      <c r="E5" s="17"/>
      <c r="F5" s="17"/>
      <c r="G5" s="17"/>
      <c r="H5" s="17"/>
      <c r="I5" s="17"/>
      <c r="J5" s="17"/>
      <c r="K5" s="17"/>
      <c r="L5" s="17"/>
      <c r="M5" s="17"/>
      <c r="N5" s="17"/>
    </row>
    <row r="6" spans="1:27" ht="18.75" thickBot="1" x14ac:dyDescent="0.25">
      <c r="A6" s="17"/>
      <c r="B6" s="419" t="s">
        <v>145</v>
      </c>
      <c r="C6" s="420"/>
      <c r="D6" s="420"/>
      <c r="E6" s="56"/>
      <c r="F6" s="9" t="s">
        <v>144</v>
      </c>
      <c r="G6" s="17"/>
      <c r="H6" s="17"/>
      <c r="I6" s="17"/>
      <c r="J6" s="17"/>
      <c r="K6" s="17"/>
      <c r="L6" s="17"/>
      <c r="M6" s="17"/>
      <c r="N6" s="17"/>
    </row>
    <row r="7" spans="1:27" ht="18" customHeight="1" thickBot="1" x14ac:dyDescent="0.25">
      <c r="A7" s="17"/>
      <c r="B7" s="384" t="s">
        <v>147</v>
      </c>
      <c r="C7" s="384"/>
      <c r="D7" s="7"/>
      <c r="E7" s="56"/>
      <c r="F7" s="385" t="s">
        <v>160</v>
      </c>
      <c r="G7" s="17"/>
      <c r="H7" s="17"/>
      <c r="I7" s="17"/>
      <c r="J7" s="17"/>
      <c r="K7" s="17"/>
      <c r="L7" s="17"/>
      <c r="M7" s="17"/>
      <c r="N7" s="17"/>
    </row>
    <row r="8" spans="1:27" ht="18" customHeight="1" thickBot="1" x14ac:dyDescent="0.25">
      <c r="A8" s="17"/>
      <c r="B8" s="384" t="s">
        <v>201</v>
      </c>
      <c r="C8" s="384"/>
      <c r="D8" s="8"/>
      <c r="E8" s="17"/>
      <c r="F8" s="386"/>
      <c r="G8" s="17"/>
      <c r="H8" s="17"/>
      <c r="I8" s="17"/>
      <c r="J8" s="17"/>
      <c r="K8" s="17"/>
      <c r="L8" s="17"/>
      <c r="M8" s="17"/>
      <c r="N8" s="17"/>
    </row>
    <row r="9" spans="1:27" ht="18" customHeight="1" thickBot="1" x14ac:dyDescent="0.25">
      <c r="A9" s="17"/>
      <c r="B9" s="402" t="s">
        <v>661</v>
      </c>
      <c r="C9" s="384"/>
      <c r="D9" s="14"/>
      <c r="E9" s="17"/>
      <c r="F9" s="386"/>
      <c r="G9" s="17"/>
      <c r="H9" s="17"/>
      <c r="I9" s="17"/>
      <c r="J9" s="17"/>
      <c r="K9" s="17"/>
      <c r="L9" s="17"/>
      <c r="M9" s="17"/>
      <c r="N9" s="17"/>
    </row>
    <row r="10" spans="1:27" s="51" customFormat="1" ht="15" customHeight="1" thickBot="1" x14ac:dyDescent="0.25">
      <c r="A10" s="57"/>
      <c r="B10" s="57"/>
      <c r="C10" s="57"/>
      <c r="D10" s="57"/>
      <c r="E10" s="57"/>
      <c r="F10" s="57"/>
      <c r="G10" s="57"/>
      <c r="H10" s="57"/>
      <c r="I10" s="57"/>
      <c r="J10" s="57"/>
      <c r="K10" s="57"/>
      <c r="L10" s="57"/>
      <c r="M10" s="57"/>
      <c r="N10" s="57"/>
    </row>
    <row r="11" spans="1:27" s="1" customFormat="1" ht="18" customHeight="1" thickBot="1" x14ac:dyDescent="0.25">
      <c r="A11" s="404" t="s">
        <v>124</v>
      </c>
      <c r="B11" s="405"/>
      <c r="C11" s="405"/>
      <c r="D11" s="405"/>
      <c r="E11" s="405"/>
      <c r="F11" s="405"/>
      <c r="G11" s="405"/>
      <c r="H11" s="405"/>
      <c r="I11" s="405"/>
      <c r="J11" s="405"/>
      <c r="K11" s="405"/>
      <c r="L11" s="405"/>
      <c r="M11" s="406"/>
      <c r="N11" s="57"/>
      <c r="O11" s="23"/>
      <c r="P11" s="23"/>
      <c r="Q11" s="23"/>
      <c r="R11" s="23"/>
    </row>
    <row r="12" spans="1:27" x14ac:dyDescent="0.2">
      <c r="A12" s="17"/>
      <c r="B12" s="17"/>
      <c r="C12" s="17"/>
      <c r="D12" s="17"/>
      <c r="E12" s="17"/>
      <c r="F12" s="17"/>
      <c r="G12" s="17"/>
      <c r="H12" s="17"/>
      <c r="I12" s="17"/>
      <c r="J12" s="17"/>
      <c r="K12" s="17"/>
      <c r="L12" s="17"/>
      <c r="M12" s="17"/>
      <c r="N12" s="57"/>
      <c r="S12" s="1"/>
    </row>
    <row r="13" spans="1:27" ht="27" customHeight="1" x14ac:dyDescent="0.2">
      <c r="A13" s="17"/>
      <c r="B13" s="401" t="s">
        <v>215</v>
      </c>
      <c r="C13" s="401"/>
      <c r="D13" s="108" t="str">
        <f>IF(EN_PF_QualitativeBaseline!D13&lt;&gt;"", EN_PF_QualitativeBaseline!D13, "")</f>
        <v>CCM Lao PDR</v>
      </c>
      <c r="E13" s="17"/>
      <c r="F13" s="17"/>
      <c r="G13" s="17"/>
      <c r="H13" s="401" t="s">
        <v>161</v>
      </c>
      <c r="I13" s="401"/>
      <c r="J13" s="21" t="str">
        <f>IF(EN_PF_YearY!J13&lt;&gt;"", EN_PF_YearY!J13, "")</f>
        <v/>
      </c>
      <c r="L13" s="17"/>
      <c r="M13" s="17"/>
      <c r="N13" s="17"/>
      <c r="S13" s="1"/>
    </row>
    <row r="14" spans="1:27" ht="27" customHeight="1" x14ac:dyDescent="0.2">
      <c r="A14" s="17"/>
      <c r="B14" s="403" t="s">
        <v>499</v>
      </c>
      <c r="C14" s="401"/>
      <c r="D14" s="129" t="str">
        <f>IF(EN_PF_Year3!D14&lt;&gt;"", EN_PF_Year3!D14, "")</f>
        <v>Yes</v>
      </c>
      <c r="E14" s="17"/>
      <c r="F14" s="17"/>
      <c r="G14" s="17"/>
      <c r="H14" s="401" t="s">
        <v>162</v>
      </c>
      <c r="I14" s="401"/>
      <c r="J14" s="21"/>
      <c r="L14" s="17"/>
      <c r="M14" s="17"/>
      <c r="N14" s="17"/>
      <c r="S14" s="1"/>
    </row>
    <row r="15" spans="1:27" ht="27" customHeight="1" x14ac:dyDescent="0.2">
      <c r="A15" s="17"/>
      <c r="B15" s="401" t="s">
        <v>443</v>
      </c>
      <c r="C15" s="401"/>
      <c r="D15" s="109"/>
      <c r="E15" s="17"/>
      <c r="F15" s="17"/>
      <c r="G15" s="17"/>
      <c r="H15" s="17"/>
      <c r="I15" s="17"/>
      <c r="J15" s="17"/>
      <c r="K15" s="17"/>
      <c r="L15" s="17"/>
      <c r="M15" s="17"/>
      <c r="N15" s="17"/>
      <c r="S15" s="1"/>
    </row>
    <row r="16" spans="1:27" x14ac:dyDescent="0.2">
      <c r="A16" s="17"/>
      <c r="B16" s="17"/>
      <c r="C16" s="17"/>
      <c r="D16" s="17"/>
      <c r="E16" s="17"/>
      <c r="F16" s="17"/>
      <c r="G16" s="17"/>
      <c r="H16" s="17"/>
      <c r="I16" s="17"/>
      <c r="J16" s="17"/>
      <c r="K16" s="17"/>
      <c r="L16" s="17"/>
      <c r="M16" s="17"/>
      <c r="N16" s="17"/>
      <c r="S16" s="1"/>
    </row>
    <row r="17" spans="1:19" ht="23.45" customHeight="1" thickBot="1" x14ac:dyDescent="0.25">
      <c r="A17" s="17"/>
      <c r="B17" s="403" t="s">
        <v>439</v>
      </c>
      <c r="C17" s="401"/>
      <c r="D17" s="21"/>
      <c r="E17" s="17"/>
      <c r="F17" s="17"/>
      <c r="G17" s="17"/>
      <c r="H17" s="17"/>
      <c r="I17" s="17"/>
      <c r="J17" s="17"/>
      <c r="K17" s="17"/>
      <c r="L17" s="17"/>
      <c r="M17" s="17"/>
      <c r="N17" s="17"/>
      <c r="S17" s="1"/>
    </row>
    <row r="18" spans="1:19" ht="23.45" customHeight="1" thickBot="1" x14ac:dyDescent="0.25">
      <c r="A18" s="17"/>
      <c r="B18" s="401" t="s">
        <v>202</v>
      </c>
      <c r="C18" s="401"/>
      <c r="D18" s="110"/>
      <c r="E18" s="17"/>
      <c r="F18" s="17"/>
      <c r="G18" s="90" t="str">
        <f>"! In red the inconsistent or missing information"</f>
        <v>! In red the inconsistent or missing information</v>
      </c>
      <c r="H18" s="91"/>
      <c r="I18" s="17"/>
      <c r="J18" s="17"/>
      <c r="K18" s="17"/>
      <c r="L18" s="17"/>
      <c r="M18" s="17"/>
      <c r="N18" s="17"/>
      <c r="S18" s="1"/>
    </row>
    <row r="19" spans="1:19" ht="23.45" customHeight="1" x14ac:dyDescent="0.2">
      <c r="A19" s="17"/>
      <c r="B19" s="401" t="s">
        <v>203</v>
      </c>
      <c r="C19" s="401"/>
      <c r="D19" s="111"/>
      <c r="E19" s="17"/>
      <c r="F19" s="17"/>
      <c r="G19" s="85"/>
      <c r="H19" s="17"/>
      <c r="I19" s="17"/>
      <c r="J19" s="17"/>
      <c r="K19" s="17"/>
      <c r="L19" s="17"/>
      <c r="M19" s="17"/>
      <c r="N19" s="17"/>
      <c r="S19" s="1"/>
    </row>
    <row r="20" spans="1:19" ht="23.45" customHeight="1" x14ac:dyDescent="0.2">
      <c r="A20" s="17"/>
      <c r="B20" s="403" t="s">
        <v>151</v>
      </c>
      <c r="C20" s="411"/>
      <c r="D20" s="110"/>
      <c r="E20" s="17"/>
      <c r="F20" s="17"/>
      <c r="G20" s="17"/>
      <c r="H20" s="17"/>
      <c r="I20" s="17"/>
      <c r="J20" s="17"/>
      <c r="K20" s="17"/>
      <c r="L20" s="17"/>
      <c r="M20" s="17"/>
      <c r="N20" s="17"/>
      <c r="S20" s="1"/>
    </row>
    <row r="21" spans="1:19" ht="23.45" customHeight="1" x14ac:dyDescent="0.2">
      <c r="A21" s="17"/>
      <c r="B21" s="403" t="s">
        <v>500</v>
      </c>
      <c r="C21" s="401"/>
      <c r="D21" s="112"/>
      <c r="E21" s="17"/>
      <c r="F21" s="17"/>
      <c r="G21" s="17"/>
      <c r="H21" s="17"/>
      <c r="I21" s="17"/>
      <c r="J21" s="17"/>
      <c r="K21" s="17"/>
      <c r="L21" s="17"/>
      <c r="M21" s="17"/>
      <c r="N21" s="17"/>
      <c r="S21" s="1"/>
    </row>
    <row r="22" spans="1:19" ht="33.6" customHeight="1" thickBot="1" x14ac:dyDescent="0.25">
      <c r="A22" s="17"/>
      <c r="B22" s="17"/>
      <c r="C22" s="17"/>
      <c r="D22" s="412" t="str" cm="1">
        <f t="array" ref="D22">_xlfn.IFS(F7="Performance Framework","",D15="","",AND(D15="Yes",D20=""),"",AND(D15="Yes",D20&lt;&gt;""),_xlfn.CONCAT("Evaluation ",D20),AND(D15="No",J14=""),"",AND(D15="No",J14&lt;&gt;""),_xlfn.CONCAT("Update Year ",J14))</f>
        <v/>
      </c>
      <c r="E22" s="412"/>
      <c r="F22" s="412"/>
      <c r="G22" s="114" t="str">
        <f>IF(D21="In-depth (Qualitative baseline)", "Qualitative Assessment","Annual Check")</f>
        <v>Annual Check</v>
      </c>
      <c r="H22" s="17"/>
      <c r="I22" s="17"/>
      <c r="J22" s="17"/>
      <c r="K22" s="17"/>
      <c r="L22" s="17"/>
      <c r="M22" s="17"/>
      <c r="N22" s="17"/>
      <c r="S22" s="1"/>
    </row>
    <row r="23" spans="1:19" ht="18" customHeight="1" thickBot="1" x14ac:dyDescent="0.25">
      <c r="A23" s="404" t="s">
        <v>173</v>
      </c>
      <c r="B23" s="405"/>
      <c r="C23" s="405"/>
      <c r="D23" s="405"/>
      <c r="E23" s="405"/>
      <c r="F23" s="405"/>
      <c r="G23" s="405"/>
      <c r="H23" s="405"/>
      <c r="I23" s="405"/>
      <c r="J23" s="405"/>
      <c r="K23" s="405"/>
      <c r="L23" s="405"/>
      <c r="M23" s="406"/>
      <c r="N23" s="17"/>
      <c r="S23" s="1"/>
    </row>
    <row r="24" spans="1:19" ht="15" customHeight="1" x14ac:dyDescent="0.2">
      <c r="A24" s="17"/>
      <c r="B24" s="17"/>
      <c r="C24" s="17"/>
      <c r="D24" s="17"/>
      <c r="E24" s="17"/>
      <c r="F24" s="17"/>
      <c r="G24" s="17"/>
      <c r="H24" s="17"/>
      <c r="I24" s="17"/>
      <c r="J24" s="17"/>
      <c r="K24" s="17"/>
      <c r="L24" s="17"/>
      <c r="M24" s="17"/>
      <c r="N24" s="17"/>
    </row>
    <row r="25" spans="1:19" s="52" customFormat="1" ht="31.5" x14ac:dyDescent="0.2">
      <c r="A25" s="58"/>
      <c r="B25" s="48" t="s">
        <v>148</v>
      </c>
      <c r="C25" s="48" t="s">
        <v>150</v>
      </c>
      <c r="D25" s="421" t="s">
        <v>153</v>
      </c>
      <c r="E25" s="422"/>
      <c r="F25" s="423"/>
      <c r="G25" s="49" t="s">
        <v>158</v>
      </c>
      <c r="H25" s="48" t="s">
        <v>156</v>
      </c>
      <c r="I25" s="48" t="s">
        <v>143</v>
      </c>
      <c r="J25" s="48" t="s">
        <v>159</v>
      </c>
      <c r="K25" s="49" t="s">
        <v>690</v>
      </c>
      <c r="L25" s="49" t="s">
        <v>172</v>
      </c>
      <c r="M25" s="48" t="s">
        <v>163</v>
      </c>
      <c r="N25" s="17"/>
      <c r="O25" s="23"/>
      <c r="P25" s="23"/>
      <c r="Q25" s="23"/>
      <c r="R25" s="23"/>
    </row>
    <row r="26" spans="1:19" ht="110.1" customHeight="1" x14ac:dyDescent="0.2">
      <c r="A26" s="17"/>
      <c r="B26" s="426" t="s">
        <v>110</v>
      </c>
      <c r="C26" s="341" t="s">
        <v>175</v>
      </c>
      <c r="D26" s="341" t="s">
        <v>155</v>
      </c>
      <c r="E26" s="410"/>
      <c r="F26" s="410"/>
      <c r="G26" s="81"/>
      <c r="H26" s="72" t="str" cm="1">
        <f t="array" ref="H26">_xlfn.IFS(G26=EN_PF_DROPDOWN!$C$3,"3",G26=EN_PF_DROPDOWN!$C$4,"2",G26=EN_PF_DROPDOWN!$C$5,"1",G26=EN_PF_DROPDOWN!$C$6,"0",G26="","")</f>
        <v/>
      </c>
      <c r="I26" s="53"/>
      <c r="J26" s="61" t="str" cm="1">
        <f t="array" ref="J26">_xlfn.IFS(G26=EN_PF_DROPDOWN!$C$3,EN_PF_DROPDOWN!$E$3,G26=EN_PF_DROPDOWN!$C$4,EN_PF_DROPDOWN!$E$4,G26=EN_PF_DROPDOWN!$C$5,EN_PF_DROPDOWN!$E$5,G26=EN_PF_DROPDOWN!$C$6,EN_PF_DROPDOWN!$E$6,G26=EN_PF_DROPDOWN!$C$6,0,G26="","")</f>
        <v/>
      </c>
      <c r="K26" s="78" t="str" cm="1">
        <f t="array" ref="K26">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OR(AND(H26="", L26=""), AND($D$20="",$J$14=""), AND(L26="", H26&lt;&gt;"",$D$14="Yes",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1",$J$14&lt;&gt;1),H26&lt;&gt;"", OR(AND(OR(EN_PF_Year3!$J$14= 1, EN_PF_Year3!$D$20="Year 1"), EN_PF_Year3!L26="",  OR($D$20="Year 2", $J$14 =2)), AND(OR(EN_PF_Year3!$J$14= 2, EN_PF_Year3!$D$20="Year 2"), EN_PF_Year3!L26="",  OR($D$20="Year 3", $J$14 =3)))), AND(OR($D$20&lt;&gt;"",$J$14&lt;&gt;""),AND($D$20&lt;&gt;"Year 1",$J$14&lt;&gt;1),L26="", H26&lt;&gt;"", OR(AND(OR(EN_PF_YearY!$J$14= 1, EN_PF_YearY!$D$20="Year 1"), EN_PF_YearY!L26="",  OR($D$20="Year 2", $J$14 =2)), AND(OR(EN_PF_YearY!$J$14= 2, EN_PF_YearY!$D$20="Year 2"), EN_PF_YearY!L26="",  OR($D$20="Year 3", $J$14 =3)))))), "", AND(L26="", H26&lt;&gt;"",$D$14="Yes",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",EN_PF_QualitativeBaseline!$I$16,"     Preliminary score = ",H26), AND(OR($D$20&lt;&gt;"",$J$14&lt;&gt;""),AND($D$20&lt;&gt;"Year 1",$J$14&lt;&gt;1),L26="", H26&lt;&gt;"", OR(AND(OR(EN_PF_Year3!$J$14= 1, EN_PF_Year3!$D$20="Year 1"), EN_PF_Year3!L26&lt;&gt;"",  OR($D$20="Year 2", $J$14 =2)), AND(OR(EN_PF_Year3!$J$14= 2, EN_PF_Year3!$D$20="Year 2"), EN_PF_Year3!L26&lt;&gt;"",  OR($D$20="Year 3", $J$14 =3)))), _xlfn.CONCAT("Validated old score = ",EN_PF_Year3!L26,"          Preliminary score = ",H26), AND(OR($D$20&lt;&gt;"",$J$14&lt;&gt;""),AND($D$20&lt;&gt;"Year 1",$J$14&lt;&gt;1),L26="", H26&lt;&gt;"", OR(AND(OR(EN_PF_YearY!$J$14= 1, EN_PF_YearY!$D$20="Year 1"), EN_PF_YearY!L26&lt;&gt;"",  OR($D$20="Year 2", $J$14 =2)), AND(OR(EN_PF_YearY!$J$14= 2, EN_PF_YearY!$D$20="Year 2"), EN_PF_YearY!L26&lt;&gt;"",  OR($D$20="Year 3", $J$14 =3)))), _xlfn.CONCAT("Validated old score = ",EN_PF_YearY!L26,"          Preliminary score = ",H26), AND(OR($D$20&lt;&gt;"",$J$14&lt;&gt;""),AND($D$20&lt;&gt;"Year 1",$J$14&lt;&gt;1),L26&lt;&gt;"", OR(AND(OR(EN_PF_Year3!$J$14= 1, EN_PF_Year3!$D$20="Year 1"), EN_PF_Year3!L26&lt;&gt;"",  OR($D$20="Year 2", $J$14 =2)), AND(OR(EN_PF_Year3!$J$14= 2, EN_PF_Year3!$D$20="Year 2"), EN_PF_Year3!L26&lt;&gt;"",  OR($D$20="Year 3", $J$14 =3)))), _xlfn.CONCAT("Validated old score = ",EN_PF_Year3!L26,"               Validated new score = ",L26), AND(OR($D$20&lt;&gt;"",$J$14&lt;&gt;""),AND($D$20&lt;&gt;"Year 1",$J$14&lt;&gt;1),L26="", H26&lt;&gt;"", OR(AND(OR(EN_PF_YearY!$J$14= 1, EN_PF_YearY!$D$20="Year 1"), EN_PF_YearY!L26&lt;&gt;"",  OR($D$20="Year 2", $J$14 =2)), AND(OR(EN_PF_YearY!$J$14= 2, EN_PF_YearY!$D$20="Year 2"), EN_PF_YearY!L26&lt;&gt;"",  OR($D$20="Year 3", $J$14 =3)))), _xlfn.CONCAT("Validated old score = ",EN_PF_YearY!L26,"               Validated new score = ",L26),AND(L26&lt;&gt;"",$D$14="Yes",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",EN_PF_QualitativeBaseline!$I$16,"               Validated new score = ",L26), AND(OR($D$14="No", $D$14="", EN_PF_QualitativeBaseline!$I$16=""),OR($D$20="Year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26" s="74"/>
      <c r="M26" s="53"/>
      <c r="N26" s="17"/>
      <c r="O26" s="17"/>
      <c r="R26" s="54"/>
    </row>
    <row r="27" spans="1:19" ht="110.1" customHeight="1" x14ac:dyDescent="0.2">
      <c r="A27" s="17"/>
      <c r="B27" s="427"/>
      <c r="C27" s="410"/>
      <c r="D27" s="387" t="s">
        <v>610</v>
      </c>
      <c r="E27" s="415"/>
      <c r="F27" s="416"/>
      <c r="G27" s="80"/>
      <c r="H27" s="73" t="str" cm="1">
        <f t="array" ref="H27">_xlfn.IFS(G27=EN_PF_DROPDOWN!$C$9,"3",G27=EN_PF_DROPDOWN!$C$10,"2",G27=EN_PF_DROPDOWN!$C$11,"1",G27=EN_PF_DROPDOWN!$C$12,"0",G27="","")</f>
        <v/>
      </c>
      <c r="I27" s="55"/>
      <c r="J27" s="62" t="str" cm="1">
        <f t="array" ref="J27">_xlfn.IFS(G27=EN_PF_DROPDOWN!$C$9,EN_PF_DROPDOWN!$E$9,G27=EN_PF_DROPDOWN!$C$10,EN_PF_DROPDOWN!$E$10,G27=EN_PF_DROPDOWN!$C$11,EN_PF_DROPDOWN!$E$11,G27=EN_PF_DROPDOWN!$C$12,EN_PF_DROPDOWN!$E$12,G27="","")</f>
        <v/>
      </c>
      <c r="K27" s="78" t="str" cm="1">
        <f t="array" ref="K27">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OR(AND(H27="", L27=""), AND($D$20="",$J$14=""), AND(L27="", H27&lt;&gt;"",$D$14="Yes",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1",$J$14&lt;&gt;1),H27&lt;&gt;"", OR(AND(OR(EN_PF_Year3!$J$14= 1, EN_PF_Year3!$D$20="Year 1"), EN_PF_Year3!L27="",  OR($D$20="Year 2", $J$14 =2)), AND(OR(EN_PF_Year3!$J$14= 2, EN_PF_Year3!$D$20="Year 2"), EN_PF_Year3!L27="",  OR($D$20="Year 3", $J$14 =3)))), AND(OR($D$20&lt;&gt;"",$J$14&lt;&gt;""),AND($D$20&lt;&gt;"Year 1",$J$14&lt;&gt;1),L27="", H27&lt;&gt;"", OR(AND(OR(EN_PF_YearY!$J$14= 1, EN_PF_YearY!$D$20="Year 1"), EN_PF_YearY!L27="",  OR($D$20="Year 2", $J$14 =2)), AND(OR(EN_PF_YearY!$J$14= 2, EN_PF_YearY!$D$20="Year 2"), EN_PF_YearY!L27="",  OR($D$20="Year 3", $J$14 =3)))))), "", AND(L27="", H27&lt;&gt;"",$D$14="Yes",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",EN_PF_QualitativeBaseline!$I$16,"     Preliminary score = ",H27), AND(OR($D$20&lt;&gt;"",$J$14&lt;&gt;""),AND($D$20&lt;&gt;"Year 1",$J$14&lt;&gt;1),L27="", H27&lt;&gt;"", OR(AND(OR(EN_PF_Year3!$J$14= 1, EN_PF_Year3!$D$20="Year 1"), EN_PF_Year3!L27&lt;&gt;"",  OR($D$20="Year 2", $J$14 =2)), AND(OR(EN_PF_Year3!$J$14= 2, EN_PF_Year3!$D$20="Year 2"), EN_PF_Year3!L27&lt;&gt;"",  OR($D$20="Year 3", $J$14 =3)))), _xlfn.CONCAT("Validated old score = ",EN_PF_Year3!L27,"          Preliminary score = ",H27), AND(OR($D$20&lt;&gt;"",$J$14&lt;&gt;""),AND($D$20&lt;&gt;"Year 1",$J$14&lt;&gt;1),L27="", H27&lt;&gt;"", OR(AND(OR(EN_PF_YearY!$J$14= 1, EN_PF_YearY!$D$20="Year 1"), EN_PF_YearY!L27&lt;&gt;"",  OR($D$20="Year 2", $J$14 =2)), AND(OR(EN_PF_YearY!$J$14= 2, EN_PF_YearY!$D$20="Year 2"), EN_PF_YearY!L27&lt;&gt;"",  OR($D$20="Year 3", $J$14 =3)))), _xlfn.CONCAT("Validated old score = ",EN_PF_YearY!L27,"          Preliminary score = ",H27), AND(OR($D$20&lt;&gt;"",$J$14&lt;&gt;""),AND($D$20&lt;&gt;"Year 1",$J$14&lt;&gt;1),L27&lt;&gt;"", OR(AND(OR(EN_PF_Year3!$J$14= 1, EN_PF_Year3!$D$20="Year 1"), EN_PF_Year3!L27&lt;&gt;"",  OR($D$20="Year 2", $J$14 =2)), AND(OR(EN_PF_Year3!$J$14= 2, EN_PF_Year3!$D$20="Year 2"), EN_PF_Year3!L27&lt;&gt;"",  OR($D$20="Year 3", $J$14 =3)))), _xlfn.CONCAT("Validated old score = ",EN_PF_Year3!L27,"               Validated new score = ",L27), AND(OR($D$20&lt;&gt;"",$J$14&lt;&gt;""),AND($D$20&lt;&gt;"Year 1",$J$14&lt;&gt;1),L27="", H27&lt;&gt;"", OR(AND(OR(EN_PF_YearY!$J$14= 1, EN_PF_YearY!$D$20="Year 1"), EN_PF_YearY!L27&lt;&gt;"",  OR($D$20="Year 2", $J$14 =2)), AND(OR(EN_PF_YearY!$J$14= 2, EN_PF_YearY!$D$20="Year 2"), EN_PF_YearY!L27&lt;&gt;"",  OR($D$20="Year 3", $J$14 =3)))), _xlfn.CONCAT("Validated old score = ",EN_PF_YearY!L27,"               Validated new score = ",L27),AND(L27&lt;&gt;"",$D$14="Yes",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",EN_PF_QualitativeBaseline!$I$16,"               Validated new score = ",L27), AND(OR($D$14="No", $D$14="", EN_PF_QualitativeBaseline!$I$16=""),OR($D$20="Year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27" s="74"/>
      <c r="M27" s="55"/>
      <c r="N27" s="17"/>
      <c r="O27" s="17"/>
      <c r="R27" s="54"/>
    </row>
    <row r="28" spans="1:19" ht="110.1" customHeight="1" x14ac:dyDescent="0.2">
      <c r="A28" s="17"/>
      <c r="B28" s="427"/>
      <c r="C28" s="410"/>
      <c r="D28" s="341" t="s">
        <v>653</v>
      </c>
      <c r="E28" s="341"/>
      <c r="F28" s="341"/>
      <c r="G28" s="80"/>
      <c r="H28" s="73" t="str" cm="1">
        <f t="array" ref="H28">_xlfn.IFS(G28=EN_PF_DROPDOWN!$C$15,"3",G28=EN_PF_DROPDOWN!$C$16,"2",G28=EN_PF_DROPDOWN!$C$17,"0",G28="","")</f>
        <v/>
      </c>
      <c r="I28" s="55"/>
      <c r="J28" s="62" t="str" cm="1">
        <f t="array" ref="J28">_xlfn.IFS(G28=EN_PF_DROPDOWN!$C$15,EN_PF_DROPDOWN!$E$15,G28=EN_PF_DROPDOWN!$C$16,EN_PF_DROPDOWN!$E$16,G28=EN_PF_DROPDOWN!$C$17,EN_PF_DROPDOWN!$E$17,G28="","")</f>
        <v/>
      </c>
      <c r="K28" s="78" t="str" cm="1">
        <f t="array" ref="K28">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OR(AND(H28="", L28=""), AND($D$20="",$J$14=""), AND(L28="", H28&lt;&gt;"",$D$14="Yes",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1",$J$14&lt;&gt;1),H28&lt;&gt;"", OR(AND(OR(EN_PF_Year3!$J$14= 1, EN_PF_Year3!$D$20="Year 1"), EN_PF_Year3!L28="",  OR($D$20="Year 2", $J$14 =2)), AND(OR(EN_PF_Year3!$J$14= 2, EN_PF_Year3!$D$20="Year 2"), EN_PF_Year3!L28="",  OR($D$20="Year 3", $J$14 =3)))), AND(OR($D$20&lt;&gt;"",$J$14&lt;&gt;""),AND($D$20&lt;&gt;"Year 1",$J$14&lt;&gt;1),L28="", H28&lt;&gt;"", OR(AND(OR(EN_PF_YearY!$J$14= 1, EN_PF_YearY!$D$20="Year 1"), EN_PF_YearY!L28="",  OR($D$20="Year 2", $J$14 =2)), AND(OR(EN_PF_YearY!$J$14= 2, EN_PF_YearY!$D$20="Year 2"), EN_PF_YearY!L28="",  OR($D$20="Year 3", $J$14 =3)))))), "", AND(L28="", H28&lt;&gt;"",$D$14="Yes",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",EN_PF_QualitativeBaseline!$I$16,"     Preliminary score = ",H28), AND(OR($D$20&lt;&gt;"",$J$14&lt;&gt;""),AND($D$20&lt;&gt;"Year 1",$J$14&lt;&gt;1),L28="", H28&lt;&gt;"", OR(AND(OR(EN_PF_Year3!$J$14= 1, EN_PF_Year3!$D$20="Year 1"), EN_PF_Year3!L28&lt;&gt;"",  OR($D$20="Year 2", $J$14 =2)), AND(OR(EN_PF_Year3!$J$14= 2, EN_PF_Year3!$D$20="Year 2"), EN_PF_Year3!L28&lt;&gt;"",  OR($D$20="Year 3", $J$14 =3)))), _xlfn.CONCAT("Validated old score = ",EN_PF_Year3!L28,"          Preliminary score = ",H28), AND(OR($D$20&lt;&gt;"",$J$14&lt;&gt;""),AND($D$20&lt;&gt;"Year 1",$J$14&lt;&gt;1),L28="", H28&lt;&gt;"", OR(AND(OR(EN_PF_YearY!$J$14= 1, EN_PF_YearY!$D$20="Year 1"), EN_PF_YearY!L28&lt;&gt;"",  OR($D$20="Year 2", $J$14 =2)), AND(OR(EN_PF_YearY!$J$14= 2, EN_PF_YearY!$D$20="Year 2"), EN_PF_YearY!L28&lt;&gt;"",  OR($D$20="Year 3", $J$14 =3)))), _xlfn.CONCAT("Validated old score = ",EN_PF_YearY!L28,"          Preliminary score = ",H28), AND(OR($D$20&lt;&gt;"",$J$14&lt;&gt;""),AND($D$20&lt;&gt;"Year 1",$J$14&lt;&gt;1),L28&lt;&gt;"", OR(AND(OR(EN_PF_Year3!$J$14= 1, EN_PF_Year3!$D$20="Year 1"), EN_PF_Year3!L28&lt;&gt;"",  OR($D$20="Year 2", $J$14 =2)), AND(OR(EN_PF_Year3!$J$14= 2, EN_PF_Year3!$D$20="Year 2"), EN_PF_Year3!L28&lt;&gt;"",  OR($D$20="Year 3", $J$14 =3)))), _xlfn.CONCAT("Validated old score = ",EN_PF_Year3!L28,"               Validated new score = ",L28), AND(OR($D$20&lt;&gt;"",$J$14&lt;&gt;""),AND($D$20&lt;&gt;"Year 1",$J$14&lt;&gt;1),L28="", H28&lt;&gt;"", OR(AND(OR(EN_PF_YearY!$J$14= 1, EN_PF_YearY!$D$20="Year 1"), EN_PF_YearY!L28&lt;&gt;"",  OR($D$20="Year 2", $J$14 =2)), AND(OR(EN_PF_YearY!$J$14= 2, EN_PF_YearY!$D$20="Year 2"), EN_PF_YearY!L28&lt;&gt;"",  OR($D$20="Year 3", $J$14 =3)))), _xlfn.CONCAT("Validated old score = ",EN_PF_YearY!L28,"               Validated new score = ",L28),AND(L28&lt;&gt;"",$D$14="Yes",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",EN_PF_QualitativeBaseline!$I$16,"               Validated new score = ",L28), AND(OR($D$14="No", $D$14="", EN_PF_QualitativeBaseline!$I$16=""),OR($D$20="Year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28" s="74"/>
      <c r="M28" s="55"/>
      <c r="N28" s="17"/>
      <c r="O28" s="17"/>
      <c r="R28" s="54"/>
    </row>
    <row r="29" spans="1:19" ht="110.1" customHeight="1" x14ac:dyDescent="0.2">
      <c r="A29" s="17"/>
      <c r="B29" s="427"/>
      <c r="C29" s="47" t="s">
        <v>176</v>
      </c>
      <c r="D29" s="341" t="s">
        <v>609</v>
      </c>
      <c r="E29" s="341"/>
      <c r="F29" s="341"/>
      <c r="G29" s="80"/>
      <c r="H29" s="73" t="str" cm="1">
        <f t="array" ref="H29">_xlfn.IFS(G29=EN_PF_DROPDOWN!$C$19,"3",G29=EN_PF_DROPDOWN!$C$20,"2",G29=EN_PF_DROPDOWN!$C$21,"1",G29=EN_PF_DROPDOWN!$C$22,"0",G29="","")</f>
        <v/>
      </c>
      <c r="I29" s="55"/>
      <c r="J29" s="62" t="str" cm="1">
        <f t="array" ref="J29">_xlfn.IFS(G29=EN_PF_DROPDOWN!$C$19,EN_PF_DROPDOWN!$E$19,G29=EN_PF_DROPDOWN!$C$20,EN_PF_DROPDOWN!$E$20,G29=EN_PF_DROPDOWN!$C$21,EN_PF_DROPDOWN!$E$21,G29=EN_PF_DROPDOWN!$C$22,EN_PF_DROPDOWN!$E$22,G29="","")</f>
        <v/>
      </c>
      <c r="K29" s="78" t="str" cm="1">
        <f t="array" ref="K29">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OR(AND(H29="", L29=""), AND($D$20="",$J$14=""), AND(L29="", H29&lt;&gt;"",$D$14="Yes",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1",$J$14&lt;&gt;1),H29&lt;&gt;"", OR(AND(OR(EN_PF_Year3!$J$14= 1, EN_PF_Year3!$D$20="Year 1"), EN_PF_Year3!L29="",  OR($D$20="Year 2", $J$14 =2)), AND(OR(EN_PF_Year3!$J$14= 2, EN_PF_Year3!$D$20="Year 2"), EN_PF_Year3!L29="",  OR($D$20="Year 3", $J$14 =3)))), AND(OR($D$20&lt;&gt;"",$J$14&lt;&gt;""),AND($D$20&lt;&gt;"Year 1",$J$14&lt;&gt;1),L29="", H29&lt;&gt;"", OR(AND(OR(EN_PF_YearY!$J$14= 1, EN_PF_YearY!$D$20="Year 1"), EN_PF_YearY!L29="",  OR($D$20="Year 2", $J$14 =2)), AND(OR(EN_PF_YearY!$J$14= 2, EN_PF_YearY!$D$20="Year 2"), EN_PF_YearY!L29="",  OR($D$20="Year 3", $J$14 =3)))))), "", AND(L29="", H29&lt;&gt;"",$D$14="Yes",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",EN_PF_QualitativeBaseline!$I$17,"     Preliminary score = ",H29), AND(OR($D$20&lt;&gt;"",$J$14&lt;&gt;""),AND($D$20&lt;&gt;"Year 1",$J$14&lt;&gt;1),L29="", H29&lt;&gt;"", OR(AND(OR(EN_PF_Year3!$J$14= 1, EN_PF_Year3!$D$20="Year 1"), EN_PF_Year3!L29&lt;&gt;"",  OR($D$20="Year 2", $J$14 =2)), AND(OR(EN_PF_Year3!$J$14= 2, EN_PF_Year3!$D$20="Year 2"), EN_PF_Year3!L29&lt;&gt;"",  OR($D$20="Year 3", $J$14 =3)))), _xlfn.CONCAT("Validated old score = ",EN_PF_Year3!L29,"          Preliminary score = ",H29), AND(OR($D$20&lt;&gt;"",$J$14&lt;&gt;""),AND($D$20&lt;&gt;"Year 1",$J$14&lt;&gt;1),L29="", H29&lt;&gt;"", OR(AND(OR(EN_PF_YearY!$J$14= 1, EN_PF_YearY!$D$20="Year 1"), EN_PF_YearY!L29&lt;&gt;"",  OR($D$20="Year 2", $J$14 =2)), AND(OR(EN_PF_YearY!$J$14= 2, EN_PF_YearY!$D$20="Year 2"), EN_PF_YearY!L29&lt;&gt;"",  OR($D$20="Year 3", $J$14 =3)))), _xlfn.CONCAT("Validated old score = ",EN_PF_YearY!L29,"          Preliminary score = ",H29), AND(OR($D$20&lt;&gt;"",$J$14&lt;&gt;""),AND($D$20&lt;&gt;"Year 1",$J$14&lt;&gt;1),L29&lt;&gt;"", OR(AND(OR(EN_PF_Year3!$J$14= 1, EN_PF_Year3!$D$20="Year 1"), EN_PF_Year3!L29&lt;&gt;"",  OR($D$20="Year 2", $J$14 =2)), AND(OR(EN_PF_Year3!$J$14= 2, EN_PF_Year3!$D$20="Year 2"), EN_PF_Year3!L29&lt;&gt;"",  OR($D$20="Year 3", $J$14 =3)))), _xlfn.CONCAT("Validated old score = ",EN_PF_Year3!L29,"               Validated new score = ",L29), AND(OR($D$20&lt;&gt;"",$J$14&lt;&gt;""),AND($D$20&lt;&gt;"Year 1",$J$14&lt;&gt;1),L29="", H29&lt;&gt;"", OR(AND(OR(EN_PF_YearY!$J$14= 1, EN_PF_YearY!$D$20="Year 1"), EN_PF_YearY!L29&lt;&gt;"",  OR($D$20="Year 2", $J$14 =2)), AND(OR(EN_PF_YearY!$J$14= 2, EN_PF_YearY!$D$20="Year 2"), EN_PF_YearY!L29&lt;&gt;"",  OR($D$20="Year 3", $J$14 =3)))), _xlfn.CONCAT("Validated old score = ",EN_PF_YearY!L29,"               Validated new score = ",L29),AND(L29&lt;&gt;"",$D$14="Yes",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",EN_PF_QualitativeBaseline!$I$17,"               Validated new score = ",L29), AND(OR($D$14="No", $D$14="", EN_PF_QualitativeBaseline!$I$17=""),OR($D$20="Year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29" s="74"/>
      <c r="M29" s="55"/>
      <c r="N29" s="17"/>
      <c r="O29" s="17"/>
      <c r="R29" s="54"/>
    </row>
    <row r="30" spans="1:19" ht="110.1" customHeight="1" x14ac:dyDescent="0.2">
      <c r="A30" s="17"/>
      <c r="B30" s="427"/>
      <c r="C30" s="341" t="s">
        <v>180</v>
      </c>
      <c r="D30" s="341" t="s">
        <v>527</v>
      </c>
      <c r="E30" s="341"/>
      <c r="F30" s="341"/>
      <c r="G30" s="80"/>
      <c r="H30" s="73" t="str" cm="1">
        <f t="array" ref="H30">_xlfn.IFS(G30=EN_PF_DROPDOWN!$C$25,"3",G30=EN_PF_DROPDOWN!$C$26,"2",G30=EN_PF_DROPDOWN!$C$27,"1",G30=EN_PF_DROPDOWN!$C$28,"0",G30="","")</f>
        <v/>
      </c>
      <c r="I30" s="55"/>
      <c r="J30" s="62" t="str" cm="1">
        <f t="array" ref="J30">_xlfn.IFS(G30=EN_PF_DROPDOWN!$C$25,EN_PF_DROPDOWN!$E$25,G30=EN_PF_DROPDOWN!$C$26,EN_PF_DROPDOWN!$E$26,G30=EN_PF_DROPDOWN!$C$27,EN_PF_DROPDOWN!$E$27,G30=EN_PF_DROPDOWN!$C$28,EN_PF_DROPDOWN!$E$28,G30="","")</f>
        <v/>
      </c>
      <c r="K30" s="78" t="str" cm="1">
        <f t="array" ref="K30">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OR(AND(H30="", L30=""), AND($D$20="",$J$14=""), AND(L30="", H30&lt;&gt;"",$D$14="Yes",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1",$J$14&lt;&gt;1),H30&lt;&gt;"", OR(AND(OR(EN_PF_Year3!$J$14= 1, EN_PF_Year3!$D$20="Year 1"), EN_PF_Year3!L30="",  OR($D$20="Year 2", $J$14 =2)), AND(OR(EN_PF_Year3!$J$14= 2, EN_PF_Year3!$D$20="Year 2"), EN_PF_Year3!L30="",  OR($D$20="Year 3", $J$14 =3)))), AND(OR($D$20&lt;&gt;"",$J$14&lt;&gt;""),AND($D$20&lt;&gt;"Year 1",$J$14&lt;&gt;1),L30="", H30&lt;&gt;"", OR(AND(OR(EN_PF_YearY!$J$14= 1, EN_PF_YearY!$D$20="Year 1"), EN_PF_YearY!L30="",  OR($D$20="Year 2", $J$14 =2)), AND(OR(EN_PF_YearY!$J$14= 2, EN_PF_YearY!$D$20="Year 2"), EN_PF_YearY!L30="",  OR($D$20="Year 3", $J$14 =3)))))), "", AND(L30="", H30&lt;&gt;"",$D$14="Yes",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",EN_PF_QualitativeBaseline!$I$18,"     Preliminary score = ",H30), AND(OR($D$20&lt;&gt;"",$J$14&lt;&gt;""),AND($D$20&lt;&gt;"Year 1",$J$14&lt;&gt;1),L30="", H30&lt;&gt;"", OR(AND(OR(EN_PF_Year3!$J$14= 1, EN_PF_Year3!$D$20="Year 1"), EN_PF_Year3!L30&lt;&gt;"",  OR($D$20="Year 2", $J$14 =2)), AND(OR(EN_PF_Year3!$J$14= 2, EN_PF_Year3!$D$20="Year 2"), EN_PF_Year3!L30&lt;&gt;"",  OR($D$20="Year 3", $J$14 =3)))), _xlfn.CONCAT("Validated old score = ",EN_PF_Year3!L30,"          Preliminary score = ",H30), AND(OR($D$20&lt;&gt;"",$J$14&lt;&gt;""),AND($D$20&lt;&gt;"Year 1",$J$14&lt;&gt;1),L30="", H30&lt;&gt;"", OR(AND(OR(EN_PF_YearY!$J$14= 1, EN_PF_YearY!$D$20="Year 1"), EN_PF_YearY!L30&lt;&gt;"",  OR($D$20="Year 2", $J$14 =2)), AND(OR(EN_PF_YearY!$J$14= 2, EN_PF_YearY!$D$20="Year 2"), EN_PF_YearY!L30&lt;&gt;"",  OR($D$20="Year 3", $J$14 =3)))), _xlfn.CONCAT("Validated old score = ",EN_PF_YearY!L30,"          Preliminary score = ",H30), AND(OR($D$20&lt;&gt;"",$J$14&lt;&gt;""),AND($D$20&lt;&gt;"Year 1",$J$14&lt;&gt;1),L30&lt;&gt;"", OR(AND(OR(EN_PF_Year3!$J$14= 1, EN_PF_Year3!$D$20="Year 1"), EN_PF_Year3!L30&lt;&gt;"",  OR($D$20="Year 2", $J$14 =2)), AND(OR(EN_PF_Year3!$J$14= 2, EN_PF_Year3!$D$20="Year 2"), EN_PF_Year3!L30&lt;&gt;"",  OR($D$20="Year 3", $J$14 =3)))), _xlfn.CONCAT("Validated old score = ",EN_PF_Year3!L30,"               Validated new score = ",L30), AND(OR($D$20&lt;&gt;"",$J$14&lt;&gt;""),AND($D$20&lt;&gt;"Year 1",$J$14&lt;&gt;1),L30="", H30&lt;&gt;"", OR(AND(OR(EN_PF_YearY!$J$14= 1, EN_PF_YearY!$D$20="Year 1"), EN_PF_YearY!L30&lt;&gt;"",  OR($D$20="Year 2", $J$14 =2)), AND(OR(EN_PF_YearY!$J$14= 2, EN_PF_YearY!$D$20="Year 2"), EN_PF_YearY!L30&lt;&gt;"",  OR($D$20="Year 3", $J$14 =3)))), _xlfn.CONCAT("Validated old score = ",EN_PF_YearY!L30,"               Validated new score = ",L30),AND(L30&lt;&gt;"",$D$14="Yes",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",EN_PF_QualitativeBaseline!$I$18,"               Validated new score = ",L30), AND(OR($D$14="No", $D$14="", EN_PF_QualitativeBaseline!$I$18=""),OR($D$20="Year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0" s="74"/>
      <c r="M30" s="55"/>
      <c r="N30" s="17"/>
      <c r="O30" s="17"/>
      <c r="R30" s="54"/>
    </row>
    <row r="31" spans="1:19" ht="110.1" customHeight="1" x14ac:dyDescent="0.2">
      <c r="A31" s="17"/>
      <c r="B31" s="427"/>
      <c r="C31" s="410"/>
      <c r="D31" s="341" t="s">
        <v>381</v>
      </c>
      <c r="E31" s="410"/>
      <c r="F31" s="410"/>
      <c r="G31" s="80"/>
      <c r="H31" s="73" t="str" cm="1">
        <f t="array" ref="H31">_xlfn.IFS(G31=EN_PF_DROPDOWN!$C$31,"3",G31=EN_PF_DROPDOWN!$C$32,"2",G31=EN_PF_DROPDOWN!$C$33,"1",G31=EN_PF_DROPDOWN!$C$34,"0",G31="","")</f>
        <v/>
      </c>
      <c r="I31" s="55"/>
      <c r="J31" s="62" t="str" cm="1">
        <f t="array" ref="J31">_xlfn.IFS(G31=EN_PF_DROPDOWN!$C$31,EN_PF_DROPDOWN!$E$31,G31=EN_PF_DROPDOWN!$C$32,EN_PF_DROPDOWN!$E$32,G31=EN_PF_DROPDOWN!$C$33,EN_PF_DROPDOWN!$E$33,G31=EN_PF_DROPDOWN!$C$34,EN_PF_DROPDOWN!$E$34,G31="","")</f>
        <v/>
      </c>
      <c r="K31" s="78" t="str" cm="1">
        <f t="array" ref="K31">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OR(AND(H31="", L31=""), AND($D$20="",$J$14=""), AND(L31="", H31&lt;&gt;"",$D$14="Yes",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1",$J$14&lt;&gt;1),H31&lt;&gt;"", OR(AND(OR(EN_PF_Year3!$J$14= 1, EN_PF_Year3!$D$20="Year 1"), EN_PF_Year3!L31="",  OR($D$20="Year 2", $J$14 =2)), AND(OR(EN_PF_Year3!$J$14= 2, EN_PF_Year3!$D$20="Year 2"), EN_PF_Year3!L31="",  OR($D$20="Year 3", $J$14 =3)))), AND(OR($D$20&lt;&gt;"",$J$14&lt;&gt;""),AND($D$20&lt;&gt;"Year 1",$J$14&lt;&gt;1),L31="", H31&lt;&gt;"", OR(AND(OR(EN_PF_YearY!$J$14= 1, EN_PF_YearY!$D$20="Year 1"), EN_PF_YearY!L31="",  OR($D$20="Year 2", $J$14 =2)), AND(OR(EN_PF_YearY!$J$14= 2, EN_PF_YearY!$D$20="Year 2"), EN_PF_YearY!L31="",  OR($D$20="Year 3", $J$14 =3)))))), "", AND(L31="", H31&lt;&gt;"",$D$14="Yes",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",EN_PF_QualitativeBaseline!$I$18,"     Preliminary score = ",H31), AND(OR($D$20&lt;&gt;"",$J$14&lt;&gt;""),AND($D$20&lt;&gt;"Year 1",$J$14&lt;&gt;1),L31="", H31&lt;&gt;"", OR(AND(OR(EN_PF_Year3!$J$14= 1, EN_PF_Year3!$D$20="Year 1"), EN_PF_Year3!L31&lt;&gt;"",  OR($D$20="Year 2", $J$14 =2)), AND(OR(EN_PF_Year3!$J$14= 2, EN_PF_Year3!$D$20="Year 2"), EN_PF_Year3!L31&lt;&gt;"",  OR($D$20="Year 3", $J$14 =3)))), _xlfn.CONCAT("Validated old score = ",EN_PF_Year3!L31,"          Preliminary score = ",H31), AND(OR($D$20&lt;&gt;"",$J$14&lt;&gt;""),AND($D$20&lt;&gt;"Year 1",$J$14&lt;&gt;1),L31="", H31&lt;&gt;"", OR(AND(OR(EN_PF_YearY!$J$14= 1, EN_PF_YearY!$D$20="Year 1"), EN_PF_YearY!L31&lt;&gt;"",  OR($D$20="Year 2", $J$14 =2)), AND(OR(EN_PF_YearY!$J$14= 2, EN_PF_YearY!$D$20="Year 2"), EN_PF_YearY!L31&lt;&gt;"",  OR($D$20="Year 3", $J$14 =3)))), _xlfn.CONCAT("Validated old score = ",EN_PF_YearY!L31,"          Preliminary score = ",H31), AND(OR($D$20&lt;&gt;"",$J$14&lt;&gt;""),AND($D$20&lt;&gt;"Year 1",$J$14&lt;&gt;1),L31&lt;&gt;"", OR(AND(OR(EN_PF_Year3!$J$14= 1, EN_PF_Year3!$D$20="Year 1"), EN_PF_Year3!L31&lt;&gt;"",  OR($D$20="Year 2", $J$14 =2)), AND(OR(EN_PF_Year3!$J$14= 2, EN_PF_Year3!$D$20="Year 2"), EN_PF_Year3!L31&lt;&gt;"",  OR($D$20="Year 3", $J$14 =3)))), _xlfn.CONCAT("Validated old score = ",EN_PF_Year3!L31,"               Validated new score = ",L31), AND(OR($D$20&lt;&gt;"",$J$14&lt;&gt;""),AND($D$20&lt;&gt;"Year 1",$J$14&lt;&gt;1),L31="", H31&lt;&gt;"", OR(AND(OR(EN_PF_YearY!$J$14= 1, EN_PF_YearY!$D$20="Year 1"), EN_PF_YearY!L31&lt;&gt;"",  OR($D$20="Year 2", $J$14 =2)), AND(OR(EN_PF_YearY!$J$14= 2, EN_PF_YearY!$D$20="Year 2"), EN_PF_YearY!L31&lt;&gt;"",  OR($D$20="Year 3", $J$14 =3)))), _xlfn.CONCAT("Validated old score = ",EN_PF_YearY!L31,"               Validated new score = ",L31),AND(L31&lt;&gt;"",$D$14="Yes",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",EN_PF_QualitativeBaseline!$I$18,"               Validated new score = ",L31), AND(OR($D$14="No", $D$14="", EN_PF_QualitativeBaseline!$I$18=""),OR($D$20="Year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1" s="74"/>
      <c r="M31" s="55"/>
      <c r="N31" s="17"/>
      <c r="O31" s="17"/>
      <c r="R31" s="54"/>
    </row>
    <row r="32" spans="1:19" ht="110.1" customHeight="1" x14ac:dyDescent="0.2">
      <c r="A32" s="17"/>
      <c r="B32" s="427"/>
      <c r="C32" s="410"/>
      <c r="D32" s="341" t="s">
        <v>189</v>
      </c>
      <c r="E32" s="341"/>
      <c r="F32" s="341"/>
      <c r="G32" s="80"/>
      <c r="H32" s="73" t="str" cm="1">
        <f t="array" ref="H32">_xlfn.IFS(G32=EN_PF_DROPDOWN!$C$37,"2",G32=EN_PF_DROPDOWN!$C$38,"0",G32="","")</f>
        <v/>
      </c>
      <c r="I32" s="55"/>
      <c r="J32" s="62" t="str" cm="1">
        <f t="array" ref="J32">_xlfn.IFS(G32=EN_PF_DROPDOWN!$C$37,EN_PF_DROPDOWN!$E$37,G32=EN_PF_DROPDOWN!$C$38,EN_PF_DROPDOWN!$E$38,G32="","")</f>
        <v/>
      </c>
      <c r="K32" s="78" t="str" cm="1">
        <f t="array" ref="K32">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OR(AND(H32="", L32=""), AND($D$20="",$J$14=""), AND(L32="", H32&lt;&gt;"",$D$14="Yes",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1",$J$14&lt;&gt;1),H32&lt;&gt;"", OR(AND(OR(EN_PF_Year3!$J$14= 1, EN_PF_Year3!$D$20="Year 1"), EN_PF_Year3!L32="",  OR($D$20="Year 2", $J$14 =2)), AND(OR(EN_PF_Year3!$J$14= 2, EN_PF_Year3!$D$20="Year 2"), EN_PF_Year3!L32="",  OR($D$20="Year 3", $J$14 =3)))), AND(OR($D$20&lt;&gt;"",$J$14&lt;&gt;""),AND($D$20&lt;&gt;"Year 1",$J$14&lt;&gt;1),L32="", H32&lt;&gt;"", OR(AND(OR(EN_PF_YearY!$J$14= 1, EN_PF_YearY!$D$20="Year 1"), EN_PF_YearY!L32="",  OR($D$20="Year 2", $J$14 =2)), AND(OR(EN_PF_YearY!$J$14= 2, EN_PF_YearY!$D$20="Year 2"), EN_PF_YearY!L32="",  OR($D$20="Year 3", $J$14 =3)))))), "", AND(L32="", H32&lt;&gt;"",$D$14="Yes",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",EN_PF_QualitativeBaseline!$I$18,"     Preliminary score = ",H32), AND(OR($D$20&lt;&gt;"",$J$14&lt;&gt;""),AND($D$20&lt;&gt;"Year 1",$J$14&lt;&gt;1),L32="", H32&lt;&gt;"", OR(AND(OR(EN_PF_Year3!$J$14= 1, EN_PF_Year3!$D$20="Year 1"), EN_PF_Year3!L32&lt;&gt;"",  OR($D$20="Year 2", $J$14 =2)), AND(OR(EN_PF_Year3!$J$14= 2, EN_PF_Year3!$D$20="Year 2"), EN_PF_Year3!L32&lt;&gt;"",  OR($D$20="Year 3", $J$14 =3)))), _xlfn.CONCAT("Validated old score = ",EN_PF_Year3!L32,"          Preliminary score = ",H32), AND(OR($D$20&lt;&gt;"",$J$14&lt;&gt;""),AND($D$20&lt;&gt;"Year 1",$J$14&lt;&gt;1),L32="", H32&lt;&gt;"", OR(AND(OR(EN_PF_YearY!$J$14= 1, EN_PF_YearY!$D$20="Year 1"), EN_PF_YearY!L32&lt;&gt;"",  OR($D$20="Year 2", $J$14 =2)), AND(OR(EN_PF_YearY!$J$14= 2, EN_PF_YearY!$D$20="Year 2"), EN_PF_YearY!L32&lt;&gt;"",  OR($D$20="Year 3", $J$14 =3)))), _xlfn.CONCAT("Validated old score = ",EN_PF_YearY!L32,"          Preliminary score = ",H32), AND(OR($D$20&lt;&gt;"",$J$14&lt;&gt;""),AND($D$20&lt;&gt;"Year 1",$J$14&lt;&gt;1),L32&lt;&gt;"", OR(AND(OR(EN_PF_Year3!$J$14= 1, EN_PF_Year3!$D$20="Year 1"), EN_PF_Year3!L32&lt;&gt;"",  OR($D$20="Year 2", $J$14 =2)), AND(OR(EN_PF_Year3!$J$14= 2, EN_PF_Year3!$D$20="Year 2"), EN_PF_Year3!L32&lt;&gt;"",  OR($D$20="Year 3", $J$14 =3)))), _xlfn.CONCAT("Validated old score = ",EN_PF_Year3!L32,"               Validated new score = ",L32), AND(OR($D$20&lt;&gt;"",$J$14&lt;&gt;""),AND($D$20&lt;&gt;"Year 1",$J$14&lt;&gt;1),L32="", H32&lt;&gt;"", OR(AND(OR(EN_PF_YearY!$J$14= 1, EN_PF_YearY!$D$20="Year 1"), EN_PF_YearY!L32&lt;&gt;"",  OR($D$20="Year 2", $J$14 =2)), AND(OR(EN_PF_YearY!$J$14= 2, EN_PF_YearY!$D$20="Year 2"), EN_PF_YearY!L32&lt;&gt;"",  OR($D$20="Year 3", $J$14 =3)))), _xlfn.CONCAT("Validated old score = ",EN_PF_YearY!L32,"               Validated new score = ",L32),AND(L32&lt;&gt;"",$D$14="Yes",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",EN_PF_QualitativeBaseline!$I$18,"               Validated new score = ",L32), AND(OR($D$14="No", $D$14="", EN_PF_QualitativeBaseline!$I$18=""),OR($D$20="Year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2" s="74"/>
      <c r="M32" s="55"/>
      <c r="N32" s="17"/>
      <c r="O32" s="17"/>
      <c r="R32" s="54"/>
    </row>
    <row r="33" spans="1:18" ht="110.1" customHeight="1" x14ac:dyDescent="0.2">
      <c r="A33" s="17"/>
      <c r="B33" s="427"/>
      <c r="C33" s="47" t="s">
        <v>181</v>
      </c>
      <c r="D33" s="410" t="s">
        <v>154</v>
      </c>
      <c r="E33" s="410"/>
      <c r="F33" s="410"/>
      <c r="G33" s="80"/>
      <c r="H33" s="73" t="str" cm="1">
        <f t="array" ref="H33">_xlfn.IFS(G33=EN_PF_DROPDOWN!$C$41,"3",G33=EN_PF_DROPDOWN!$C$42,"2",G33=EN_PF_DROPDOWN!$C$43,"1",G33=EN_PF_DROPDOWN!$C$44,"0",G33="","")</f>
        <v/>
      </c>
      <c r="I33" s="55"/>
      <c r="J33" s="62" t="str" cm="1">
        <f t="array" ref="J33">_xlfn.IFS(G33=EN_PF_DROPDOWN!$C$41,EN_PF_DROPDOWN!$E$41,G33=EN_PF_DROPDOWN!$C$42,EN_PF_DROPDOWN!$E$42,G33=EN_PF_DROPDOWN!$C$43,EN_PF_DROPDOWN!$E$43,G33=EN_PF_DROPDOWN!$C$44,EN_PF_DROPDOWN!$E$44,G33="","")</f>
        <v/>
      </c>
      <c r="K33" s="78" t="str" cm="1">
        <f t="array" ref="K33">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OR(AND(H33="", L33=""), AND($D$20="",$J$14=""), AND(L33="", H33&lt;&gt;"",$D$14="Yes",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1",$J$14&lt;&gt;1),H33&lt;&gt;"", OR(AND(OR(EN_PF_Year3!$J$14= 1, EN_PF_Year3!$D$20="Year 1"), EN_PF_Year3!L33="",  OR($D$20="Year 2", $J$14 =2)), AND(OR(EN_PF_Year3!$J$14= 2, EN_PF_Year3!$D$20="Year 2"), EN_PF_Year3!L33="",  OR($D$20="Year 3", $J$14 =3)))), AND(OR($D$20&lt;&gt;"",$J$14&lt;&gt;""),AND($D$20&lt;&gt;"Year 1",$J$14&lt;&gt;1),L33="", H33&lt;&gt;"", OR(AND(OR(EN_PF_YearY!$J$14= 1, EN_PF_YearY!$D$20="Year 1"), EN_PF_YearY!L33="",  OR($D$20="Year 2", $J$14 =2)), AND(OR(EN_PF_YearY!$J$14= 2, EN_PF_YearY!$D$20="Year 2"), EN_PF_YearY!L33="",  OR($D$20="Year 3", $J$14 =3)))))), "", AND(L33="", H33&lt;&gt;"",$D$14="Yes",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",EN_PF_QualitativeBaseline!$I$19,"     Preliminary score = ",H33), AND(OR($D$20&lt;&gt;"",$J$14&lt;&gt;""),AND($D$20&lt;&gt;"Year 1",$J$14&lt;&gt;1),L33="", H33&lt;&gt;"", OR(AND(OR(EN_PF_Year3!$J$14= 1, EN_PF_Year3!$D$20="Year 1"), EN_PF_Year3!L33&lt;&gt;"",  OR($D$20="Year 2", $J$14 =2)), AND(OR(EN_PF_Year3!$J$14= 2, EN_PF_Year3!$D$20="Year 2"), EN_PF_Year3!L33&lt;&gt;"",  OR($D$20="Year 3", $J$14 =3)))), _xlfn.CONCAT("Validated old score = ",EN_PF_Year3!L33,"          Preliminary score = ",H33), AND(OR($D$20&lt;&gt;"",$J$14&lt;&gt;""),AND($D$20&lt;&gt;"Year 1",$J$14&lt;&gt;1),L33="", H33&lt;&gt;"", OR(AND(OR(EN_PF_YearY!$J$14= 1, EN_PF_YearY!$D$20="Year 1"), EN_PF_YearY!L33&lt;&gt;"",  OR($D$20="Year 2", $J$14 =2)), AND(OR(EN_PF_YearY!$J$14= 2, EN_PF_YearY!$D$20="Year 2"), EN_PF_YearY!L33&lt;&gt;"",  OR($D$20="Year 3", $J$14 =3)))), _xlfn.CONCAT("Validated old score = ",EN_PF_YearY!L33,"          Preliminary score = ",H33), AND(OR($D$20&lt;&gt;"",$J$14&lt;&gt;""),AND($D$20&lt;&gt;"Year 1",$J$14&lt;&gt;1),L33&lt;&gt;"", OR(AND(OR(EN_PF_Year3!$J$14= 1, EN_PF_Year3!$D$20="Year 1"), EN_PF_Year3!L33&lt;&gt;"",  OR($D$20="Year 2", $J$14 =2)), AND(OR(EN_PF_Year3!$J$14= 2, EN_PF_Year3!$D$20="Year 2"), EN_PF_Year3!L33&lt;&gt;"",  OR($D$20="Year 3", $J$14 =3)))), _xlfn.CONCAT("Validated old score = ",EN_PF_Year3!L33,"               Validated new score = ",L33), AND(OR($D$20&lt;&gt;"",$J$14&lt;&gt;""),AND($D$20&lt;&gt;"Year 1",$J$14&lt;&gt;1),L33="", H33&lt;&gt;"", OR(AND(OR(EN_PF_YearY!$J$14= 1, EN_PF_YearY!$D$20="Year 1"), EN_PF_YearY!L33&lt;&gt;"",  OR($D$20="Year 2", $J$14 =2)), AND(OR(EN_PF_YearY!$J$14= 2, EN_PF_YearY!$D$20="Year 2"), EN_PF_YearY!L33&lt;&gt;"",  OR($D$20="Year 3", $J$14 =3)))), _xlfn.CONCAT("Validated old score = ",EN_PF_YearY!L33,"               Validated new score = ",L33),AND(L33&lt;&gt;"",$D$14="Yes",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",EN_PF_QualitativeBaseline!$I$19,"               Validated new score = ",L33), AND(OR($D$14="No", $D$14="", EN_PF_QualitativeBaseline!$I$19=""),OR($D$20="Year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3" s="74"/>
      <c r="M33" s="55"/>
      <c r="N33" s="17"/>
      <c r="O33" s="17"/>
      <c r="R33" s="54"/>
    </row>
    <row r="34" spans="1:18" ht="110.1" customHeight="1" x14ac:dyDescent="0.2">
      <c r="A34" s="17"/>
      <c r="B34" s="424" t="s">
        <v>113</v>
      </c>
      <c r="C34" s="341" t="s">
        <v>177</v>
      </c>
      <c r="D34" s="410" t="s">
        <v>166</v>
      </c>
      <c r="E34" s="410"/>
      <c r="F34" s="410"/>
      <c r="G34" s="80"/>
      <c r="H34" s="73" t="str" cm="1">
        <f t="array" ref="H34">_xlfn.IFS(G34=EN_PF_DROPDOWN!G3,"3",G34=EN_PF_DROPDOWN!G4,"2",G34=EN_PF_DROPDOWN!G5,"1",G34=EN_PF_DROPDOWN!G6,"0",G34="","")</f>
        <v/>
      </c>
      <c r="I34" s="55"/>
      <c r="J34" s="62" t="str" cm="1">
        <f t="array" ref="J34">_xlfn.IFS(G34=EN_PF_DROPDOWN!G3,EN_PF_DROPDOWN!I3,G34=EN_PF_DROPDOWN!G4,EN_PF_DROPDOWN!I4,G34=EN_PF_DROPDOWN!G5,EN_PF_DROPDOWN!I5,G34=EN_PF_DROPDOWN!G6,EN_PF_DROPDOWN!I6,G34="","",G34="","")</f>
        <v/>
      </c>
      <c r="K34" s="78" t="str" cm="1">
        <f t="array" ref="K34">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OR(AND(H34="", L34=""), AND($D$20="",$J$14=""), AND(L34="", H34&lt;&gt;"",$D$14="Yes",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1",$J$14&lt;&gt;1),H34&lt;&gt;"", OR(AND(OR(EN_PF_Year3!$J$14= 1, EN_PF_Year3!$D$20="Year 1"), EN_PF_Year3!L34="",  OR($D$20="Year 2", $J$14 =2)), AND(OR(EN_PF_Year3!$J$14= 2, EN_PF_Year3!$D$20="Year 2"), EN_PF_Year3!L34="",  OR($D$20="Year 3", $J$14 =3)))), AND(OR($D$20&lt;&gt;"",$J$14&lt;&gt;""),AND($D$20&lt;&gt;"Year 1",$J$14&lt;&gt;1),L34="", H34&lt;&gt;"", OR(AND(OR(EN_PF_YearY!$J$14= 1, EN_PF_YearY!$D$20="Year 1"), EN_PF_YearY!L34="",  OR($D$20="Year 2", $J$14 =2)), AND(OR(EN_PF_YearY!$J$14= 2, EN_PF_YearY!$D$20="Year 2"), EN_PF_YearY!L34="",  OR($D$20="Year 3", $J$14 =3)))))), "", AND(L34="", H34&lt;&gt;"",$D$14="Yes",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Preliminary score = ",H34), AND(OR($D$20&lt;&gt;"",$J$14&lt;&gt;""),AND($D$20&lt;&gt;"Year 1",$J$14&lt;&gt;1),L34="", H34&lt;&gt;"", OR(AND(OR(EN_PF_Year3!$J$14= 1, EN_PF_Year3!$D$20="Year 1"), EN_PF_Year3!L34&lt;&gt;"",  OR($D$20="Year 2", $J$14 =2)), AND(OR(EN_PF_Year3!$J$14= 2, EN_PF_Year3!$D$20="Year 2"), EN_PF_Year3!L34&lt;&gt;"",  OR($D$20="Year 3", $J$14 =3)))), _xlfn.CONCAT("Validated old score = ",EN_PF_Year3!L34,"          Preliminary score = ",H34), AND(OR($D$20&lt;&gt;"",$J$14&lt;&gt;""),AND($D$20&lt;&gt;"Year 1",$J$14&lt;&gt;1),L34="", H34&lt;&gt;"", OR(AND(OR(EN_PF_YearY!$J$14= 1, EN_PF_YearY!$D$20="Year 1"), EN_PF_YearY!L34&lt;&gt;"",  OR($D$20="Year 2", $J$14 =2)), AND(OR(EN_PF_YearY!$J$14= 2, EN_PF_YearY!$D$20="Year 2"), EN_PF_YearY!L34&lt;&gt;"",  OR($D$20="Year 3", $J$14 =3)))), _xlfn.CONCAT("Validated old score = ",EN_PF_YearY!L34,"          Preliminary score = ",H34), AND(OR($D$20&lt;&gt;"",$J$14&lt;&gt;""),AND($D$20&lt;&gt;"Year 1",$J$14&lt;&gt;1),L34&lt;&gt;"", OR(AND(OR(EN_PF_Year3!$J$14= 1, EN_PF_Year3!$D$20="Year 1"), EN_PF_Year3!L34&lt;&gt;"",  OR($D$20="Year 2", $J$14 =2)), AND(OR(EN_PF_Year3!$J$14= 2, EN_PF_Year3!$D$20="Year 2"), EN_PF_Year3!L34&lt;&gt;"",  OR($D$20="Year 3", $J$14 =3)))), _xlfn.CONCAT("Validated old score = ",EN_PF_Year3!L34,"               Validated new score = ",L34), AND(OR($D$20&lt;&gt;"",$J$14&lt;&gt;""),AND($D$20&lt;&gt;"Year 1",$J$14&lt;&gt;1),L34="", H34&lt;&gt;"", OR(AND(OR(EN_PF_YearY!$J$14= 1, EN_PF_YearY!$D$20="Year 1"), EN_PF_YearY!L34&lt;&gt;"",  OR($D$20="Year 2", $J$14 =2)), AND(OR(EN_PF_YearY!$J$14= 2, EN_PF_YearY!$D$20="Year 2"), EN_PF_YearY!L34&lt;&gt;"",  OR($D$20="Year 3", $J$14 =3)))), _xlfn.CONCAT("Validated old score = ",EN_PF_YearY!L34,"               Validated new score = ",L34),AND(L34&lt;&gt;"",$D$14="Yes",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Validated new score = ",L34), AND(OR($D$14="No", $D$14="", EN_PF_QualitativeBaseline!$I$20=""),OR($D$20="Year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4" s="74"/>
      <c r="M34" s="55"/>
      <c r="N34" s="17"/>
      <c r="O34" s="17"/>
      <c r="R34" s="54"/>
    </row>
    <row r="35" spans="1:18" ht="110.1" customHeight="1" x14ac:dyDescent="0.2">
      <c r="A35" s="17"/>
      <c r="B35" s="425"/>
      <c r="C35" s="410"/>
      <c r="D35" s="341" t="s">
        <v>440</v>
      </c>
      <c r="E35" s="341"/>
      <c r="F35" s="341"/>
      <c r="G35" s="80"/>
      <c r="H35" s="73" t="str" cm="1">
        <f t="array" ref="H35">_xlfn.IFS(G35=EN_PF_DROPDOWN!G9,"3",G35=EN_PF_DROPDOWN!G10,"2",G35=EN_PF_DROPDOWN!G11,"0",G35="","")</f>
        <v/>
      </c>
      <c r="I35" s="55"/>
      <c r="J35" s="62" t="str" cm="1">
        <f t="array" ref="J35">_xlfn.IFS(G35=EN_PF_DROPDOWN!G9,EN_PF_DROPDOWN!I9,G35=EN_PF_DROPDOWN!G10,EN_PF_DROPDOWN!I10,G35=EN_PF_DROPDOWN!G11,EN_PF_DROPDOWN!I11,G35="","")</f>
        <v/>
      </c>
      <c r="K35" s="78" t="str" cm="1">
        <f t="array" ref="K35">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OR(AND(H35="", L35=""), AND($D$20="",$J$14=""), AND(L35="", H35&lt;&gt;"",$D$14="Yes",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1",$J$14&lt;&gt;1),H35&lt;&gt;"", OR(AND(OR(EN_PF_Year3!$J$14= 1, EN_PF_Year3!$D$20="Year 1"), EN_PF_Year3!L35="",  OR($D$20="Year 2", $J$14 =2)), AND(OR(EN_PF_Year3!$J$14= 2, EN_PF_Year3!$D$20="Year 2"), EN_PF_Year3!L35="",  OR($D$20="Year 3", $J$14 =3)))), AND(OR($D$20&lt;&gt;"",$J$14&lt;&gt;""),AND($D$20&lt;&gt;"Year 1",$J$14&lt;&gt;1),L35="", H35&lt;&gt;"", OR(AND(OR(EN_PF_YearY!$J$14= 1, EN_PF_YearY!$D$20="Year 1"), EN_PF_YearY!L35="",  OR($D$20="Year 2", $J$14 =2)), AND(OR(EN_PF_YearY!$J$14= 2, EN_PF_YearY!$D$20="Year 2"), EN_PF_YearY!L35="",  OR($D$20="Year 3", $J$14 =3)))))), "", AND(L35="", H35&lt;&gt;"",$D$14="Yes",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Preliminary score = ",H35), AND(OR($D$20&lt;&gt;"",$J$14&lt;&gt;""),AND($D$20&lt;&gt;"Year 1",$J$14&lt;&gt;1),L35="", H35&lt;&gt;"", OR(AND(OR(EN_PF_Year3!$J$14= 1, EN_PF_Year3!$D$20="Year 1"), EN_PF_Year3!L35&lt;&gt;"",  OR($D$20="Year 2", $J$14 =2)), AND(OR(EN_PF_Year3!$J$14= 2, EN_PF_Year3!$D$20="Year 2"), EN_PF_Year3!L35&lt;&gt;"",  OR($D$20="Year 3", $J$14 =3)))), _xlfn.CONCAT("Validated old score = ",EN_PF_Year3!L35,"          Preliminary score = ",H35), AND(OR($D$20&lt;&gt;"",$J$14&lt;&gt;""),AND($D$20&lt;&gt;"Year 1",$J$14&lt;&gt;1),L35="", H35&lt;&gt;"", OR(AND(OR(EN_PF_YearY!$J$14= 1, EN_PF_YearY!$D$20="Year 1"), EN_PF_YearY!L35&lt;&gt;"",  OR($D$20="Year 2", $J$14 =2)), AND(OR(EN_PF_YearY!$J$14= 2, EN_PF_YearY!$D$20="Year 2"), EN_PF_YearY!L35&lt;&gt;"",  OR($D$20="Year 3", $J$14 =3)))), _xlfn.CONCAT("Validated old score = ",EN_PF_YearY!L35,"          Preliminary score = ",H35), AND(OR($D$20&lt;&gt;"",$J$14&lt;&gt;""),AND($D$20&lt;&gt;"Year 1",$J$14&lt;&gt;1),L35&lt;&gt;"", OR(AND(OR(EN_PF_Year3!$J$14= 1, EN_PF_Year3!$D$20="Year 1"), EN_PF_Year3!L35&lt;&gt;"",  OR($D$20="Year 2", $J$14 =2)), AND(OR(EN_PF_Year3!$J$14= 2, EN_PF_Year3!$D$20="Year 2"), EN_PF_Year3!L35&lt;&gt;"",  OR($D$20="Year 3", $J$14 =3)))), _xlfn.CONCAT("Validated old score = ",EN_PF_Year3!L35,"               Validated new score = ",L35), AND(OR($D$20&lt;&gt;"",$J$14&lt;&gt;""),AND($D$20&lt;&gt;"Year 1",$J$14&lt;&gt;1),L35="", H35&lt;&gt;"", OR(AND(OR(EN_PF_YearY!$J$14= 1, EN_PF_YearY!$D$20="Year 1"), EN_PF_YearY!L35&lt;&gt;"",  OR($D$20="Year 2", $J$14 =2)), AND(OR(EN_PF_YearY!$J$14= 2, EN_PF_YearY!$D$20="Year 2"), EN_PF_YearY!L35&lt;&gt;"",  OR($D$20="Year 3", $J$14 =3)))), _xlfn.CONCAT("Validated old score = ",EN_PF_YearY!L35,"               Validated new score = ",L35),AND(L35&lt;&gt;"",$D$14="Yes",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Validated new score = ",L35), AND(OR($D$14="No", $D$14="", EN_PF_QualitativeBaseline!$I$20=""),OR($D$20="Year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5" s="74"/>
      <c r="M35" s="55"/>
      <c r="N35" s="17"/>
      <c r="O35" s="17"/>
      <c r="R35" s="54"/>
    </row>
    <row r="36" spans="1:18" ht="110.1" customHeight="1" x14ac:dyDescent="0.2">
      <c r="A36" s="17"/>
      <c r="B36" s="425"/>
      <c r="C36" s="410"/>
      <c r="D36" s="341" t="s">
        <v>382</v>
      </c>
      <c r="E36" s="341"/>
      <c r="F36" s="341"/>
      <c r="G36" s="80"/>
      <c r="H36" s="73" t="str" cm="1">
        <f t="array" ref="H36">_xlfn.IFS(G36=EN_PF_DROPDOWN!G14,"3",G36=EN_PF_DROPDOWN!G15,"2",G36=EN_PF_DROPDOWN!G16,"1",G36=EN_PF_DROPDOWN!G17,"0",G36="","")</f>
        <v/>
      </c>
      <c r="I36" s="55"/>
      <c r="J36" s="62" t="str" cm="1">
        <f t="array" ref="J36">_xlfn.IFS(G36=EN_PF_DROPDOWN!G14,EN_PF_DROPDOWN!I14,G36=EN_PF_DROPDOWN!G15,EN_PF_DROPDOWN!I15,G36=EN_PF_DROPDOWN!G16,EN_PF_DROPDOWN!I16,G36=EN_PF_DROPDOWN!G17,EN_PF_DROPDOWN!I17,G36="","")</f>
        <v/>
      </c>
      <c r="K36" s="78" t="str" cm="1">
        <f t="array" ref="K36">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OR(AND(H36="", L36=""), AND($D$20="",$J$14=""), AND(L36="", H36&lt;&gt;"",$D$14="Yes",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1",$J$14&lt;&gt;1),H36&lt;&gt;"", OR(AND(OR(EN_PF_Year3!$J$14= 1, EN_PF_Year3!$D$20="Year 1"), EN_PF_Year3!L36="",  OR($D$20="Year 2", $J$14 =2)), AND(OR(EN_PF_Year3!$J$14= 2, EN_PF_Year3!$D$20="Year 2"), EN_PF_Year3!L36="",  OR($D$20="Year 3", $J$14 =3)))), AND(OR($D$20&lt;&gt;"",$J$14&lt;&gt;""),AND($D$20&lt;&gt;"Year 1",$J$14&lt;&gt;1),L36="", H36&lt;&gt;"", OR(AND(OR(EN_PF_YearY!$J$14= 1, EN_PF_YearY!$D$20="Year 1"), EN_PF_YearY!L36="",  OR($D$20="Year 2", $J$14 =2)), AND(OR(EN_PF_YearY!$J$14= 2, EN_PF_YearY!$D$20="Year 2"), EN_PF_YearY!L36="",  OR($D$20="Year 3", $J$14 =3)))))), "", AND(L36="", H36&lt;&gt;"",$D$14="Yes",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Preliminary score = ",H36), AND(OR($D$20&lt;&gt;"",$J$14&lt;&gt;""),AND($D$20&lt;&gt;"Year 1",$J$14&lt;&gt;1),L36="", H36&lt;&gt;"", OR(AND(OR(EN_PF_Year3!$J$14= 1, EN_PF_Year3!$D$20="Year 1"), EN_PF_Year3!L36&lt;&gt;"",  OR($D$20="Year 2", $J$14 =2)), AND(OR(EN_PF_Year3!$J$14= 2, EN_PF_Year3!$D$20="Year 2"), EN_PF_Year3!L36&lt;&gt;"",  OR($D$20="Year 3", $J$14 =3)))), _xlfn.CONCAT("Validated old score = ",EN_PF_Year3!L36,"          Preliminary score = ",H36), AND(OR($D$20&lt;&gt;"",$J$14&lt;&gt;""),AND($D$20&lt;&gt;"Year 1",$J$14&lt;&gt;1),L36="", H36&lt;&gt;"", OR(AND(OR(EN_PF_YearY!$J$14= 1, EN_PF_YearY!$D$20="Year 1"), EN_PF_YearY!L36&lt;&gt;"",  OR($D$20="Year 2", $J$14 =2)), AND(OR(EN_PF_YearY!$J$14= 2, EN_PF_YearY!$D$20="Year 2"), EN_PF_YearY!L36&lt;&gt;"",  OR($D$20="Year 3", $J$14 =3)))), _xlfn.CONCAT("Validated old score = ",EN_PF_YearY!L36,"          Preliminary score = ",H36), AND(OR($D$20&lt;&gt;"",$J$14&lt;&gt;""),AND($D$20&lt;&gt;"Year 1",$J$14&lt;&gt;1),L36&lt;&gt;"", OR(AND(OR(EN_PF_Year3!$J$14= 1, EN_PF_Year3!$D$20="Year 1"), EN_PF_Year3!L36&lt;&gt;"",  OR($D$20="Year 2", $J$14 =2)), AND(OR(EN_PF_Year3!$J$14= 2, EN_PF_Year3!$D$20="Year 2"), EN_PF_Year3!L36&lt;&gt;"",  OR($D$20="Year 3", $J$14 =3)))), _xlfn.CONCAT("Validated old score = ",EN_PF_Year3!L36,"               Validated new score = ",L36), AND(OR($D$20&lt;&gt;"",$J$14&lt;&gt;""),AND($D$20&lt;&gt;"Year 1",$J$14&lt;&gt;1),L36="", H36&lt;&gt;"", OR(AND(OR(EN_PF_YearY!$J$14= 1, EN_PF_YearY!$D$20="Year 1"), EN_PF_YearY!L36&lt;&gt;"",  OR($D$20="Year 2", $J$14 =2)), AND(OR(EN_PF_YearY!$J$14= 2, EN_PF_YearY!$D$20="Year 2"), EN_PF_YearY!L36&lt;&gt;"",  OR($D$20="Year 3", $J$14 =3)))), _xlfn.CONCAT("Validated old score = ",EN_PF_YearY!L36,"               Validated new score = ",L36),AND(L36&lt;&gt;"",$D$14="Yes",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Validated new score = ",L36), AND(OR($D$14="No", $D$14="", EN_PF_QualitativeBaseline!$I$20=""),OR($D$20="Year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6" s="74"/>
      <c r="M36" s="55"/>
      <c r="N36" s="17"/>
      <c r="O36" s="17"/>
      <c r="R36" s="54"/>
    </row>
    <row r="37" spans="1:18" ht="110.1" customHeight="1" x14ac:dyDescent="0.2">
      <c r="A37" s="17"/>
      <c r="B37" s="425"/>
      <c r="C37" s="410"/>
      <c r="D37" s="341" t="s">
        <v>167</v>
      </c>
      <c r="E37" s="341"/>
      <c r="F37" s="341"/>
      <c r="G37" s="80"/>
      <c r="H37" s="73" t="str" cm="1">
        <f t="array" ref="H37">_xlfn.IFS(G37=EN_PF_DROPDOWN!G20,"3",G37=EN_PF_DROPDOWN!G21,"2",G37=EN_PF_DROPDOWN!G22,"1",G37=EN_PF_DROPDOWN!G23,"0",G37="","")</f>
        <v/>
      </c>
      <c r="I37" s="55"/>
      <c r="J37" s="62" t="str" cm="1">
        <f t="array" ref="J37">_xlfn.IFS(G37=EN_PF_DROPDOWN!G20,EN_PF_DROPDOWN!I20,G37=EN_PF_DROPDOWN!G21,EN_PF_DROPDOWN!I21,G37=EN_PF_DROPDOWN!G22,EN_PF_DROPDOWN!I22,G37=EN_PF_DROPDOWN!G23,EN_PF_DROPDOWN!I23,G37="","")</f>
        <v/>
      </c>
      <c r="K37" s="78" t="str" cm="1">
        <f t="array" ref="K37">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OR(AND(H37="", L37=""), AND($D$20="",$J$14=""), AND(L37="", H37&lt;&gt;"",$D$14="Yes",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1",$J$14&lt;&gt;1),H37&lt;&gt;"", OR(AND(OR(EN_PF_Year3!$J$14= 1, EN_PF_Year3!$D$20="Year 1"), EN_PF_Year3!L37="",  OR($D$20="Year 2", $J$14 =2)), AND(OR(EN_PF_Year3!$J$14= 2, EN_PF_Year3!$D$20="Year 2"), EN_PF_Year3!L37="",  OR($D$20="Year 3", $J$14 =3)))), AND(OR($D$20&lt;&gt;"",$J$14&lt;&gt;""),AND($D$20&lt;&gt;"Year 1",$J$14&lt;&gt;1),L37="", H37&lt;&gt;"", OR(AND(OR(EN_PF_YearY!$J$14= 1, EN_PF_YearY!$D$20="Year 1"), EN_PF_YearY!L37="",  OR($D$20="Year 2", $J$14 =2)), AND(OR(EN_PF_YearY!$J$14= 2, EN_PF_YearY!$D$20="Year 2"), EN_PF_YearY!L37="",  OR($D$20="Year 3", $J$14 =3)))))), "", AND(L37="", H37&lt;&gt;"",$D$14="Yes",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Preliminary score = ",H37), AND(OR($D$20&lt;&gt;"",$J$14&lt;&gt;""),AND($D$20&lt;&gt;"Year 1",$J$14&lt;&gt;1),L37="", H37&lt;&gt;"", OR(AND(OR(EN_PF_Year3!$J$14= 1, EN_PF_Year3!$D$20="Year 1"), EN_PF_Year3!L37&lt;&gt;"",  OR($D$20="Year 2", $J$14 =2)), AND(OR(EN_PF_Year3!$J$14= 2, EN_PF_Year3!$D$20="Year 2"), EN_PF_Year3!L37&lt;&gt;"",  OR($D$20="Year 3", $J$14 =3)))), _xlfn.CONCAT("Validated old score = ",EN_PF_Year3!L37,"          Preliminary score = ",H37), AND(OR($D$20&lt;&gt;"",$J$14&lt;&gt;""),AND($D$20&lt;&gt;"Year 1",$J$14&lt;&gt;1),L37="", H37&lt;&gt;"", OR(AND(OR(EN_PF_YearY!$J$14= 1, EN_PF_YearY!$D$20="Year 1"), EN_PF_YearY!L37&lt;&gt;"",  OR($D$20="Year 2", $J$14 =2)), AND(OR(EN_PF_YearY!$J$14= 2, EN_PF_YearY!$D$20="Year 2"), EN_PF_YearY!L37&lt;&gt;"",  OR($D$20="Year 3", $J$14 =3)))), _xlfn.CONCAT("Validated old score = ",EN_PF_YearY!L37,"          Preliminary score = ",H37), AND(OR($D$20&lt;&gt;"",$J$14&lt;&gt;""),AND($D$20&lt;&gt;"Year 1",$J$14&lt;&gt;1),L37&lt;&gt;"", OR(AND(OR(EN_PF_Year3!$J$14= 1, EN_PF_Year3!$D$20="Year 1"), EN_PF_Year3!L37&lt;&gt;"",  OR($D$20="Year 2", $J$14 =2)), AND(OR(EN_PF_Year3!$J$14= 2, EN_PF_Year3!$D$20="Year 2"), EN_PF_Year3!L37&lt;&gt;"",  OR($D$20="Year 3", $J$14 =3)))), _xlfn.CONCAT("Validated old score = ",EN_PF_Year3!L37,"               Validated new score = ",L37), AND(OR($D$20&lt;&gt;"",$J$14&lt;&gt;""),AND($D$20&lt;&gt;"Year 1",$J$14&lt;&gt;1),L37="", H37&lt;&gt;"", OR(AND(OR(EN_PF_YearY!$J$14= 1, EN_PF_YearY!$D$20="Year 1"), EN_PF_YearY!L37&lt;&gt;"",  OR($D$20="Year 2", $J$14 =2)), AND(OR(EN_PF_YearY!$J$14= 2, EN_PF_YearY!$D$20="Year 2"), EN_PF_YearY!L37&lt;&gt;"",  OR($D$20="Year 3", $J$14 =3)))), _xlfn.CONCAT("Validated old score = ",EN_PF_YearY!L37,"               Validated new score = ",L37),AND(L37&lt;&gt;"",$D$14="Yes",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Validated new score = ",L37), AND(OR($D$14="No", $D$14="", EN_PF_QualitativeBaseline!$I$20=""),OR($D$20="Year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7" s="74"/>
      <c r="M37" s="55"/>
      <c r="N37" s="17"/>
      <c r="O37" s="17"/>
      <c r="R37" s="54"/>
    </row>
    <row r="38" spans="1:18" ht="110.1" customHeight="1" x14ac:dyDescent="0.2">
      <c r="A38" s="17"/>
      <c r="B38" s="425"/>
      <c r="C38" s="410"/>
      <c r="D38" s="341" t="s">
        <v>168</v>
      </c>
      <c r="E38" s="341"/>
      <c r="F38" s="341"/>
      <c r="G38" s="80"/>
      <c r="H38" s="73" t="str" cm="1">
        <f t="array" ref="H38">_xlfn.IFS(G38=EN_PF_DROPDOWN!G26,"3",G38=EN_PF_DROPDOWN!G27,"2",G38=EN_PF_DROPDOWN!G28,"1",G38=EN_PF_DROPDOWN!G29,"0",G38="","")</f>
        <v/>
      </c>
      <c r="I38" s="55"/>
      <c r="J38" s="62" t="str" cm="1">
        <f t="array" ref="J38">_xlfn.IFS(G38=EN_PF_DROPDOWN!G26,EN_PF_DROPDOWN!I26,G38=EN_PF_DROPDOWN!G27,EN_PF_DROPDOWN!I27,G38=EN_PF_DROPDOWN!G28,EN_PF_DROPDOWN!I28,G38=EN_PF_DROPDOWN!G29,EN_PF_DROPDOWN!I29,G38="","")</f>
        <v/>
      </c>
      <c r="K38" s="78" t="str" cm="1">
        <f t="array" ref="K38">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OR(AND(H38="", L38=""), AND($D$20="",$J$14=""), AND(L38="", H38&lt;&gt;"",$D$14="Yes",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1",$J$14&lt;&gt;1),H38&lt;&gt;"", OR(AND(OR(EN_PF_Year3!$J$14= 1, EN_PF_Year3!$D$20="Year 1"), EN_PF_Year3!L38="",  OR($D$20="Year 2", $J$14 =2)), AND(OR(EN_PF_Year3!$J$14= 2, EN_PF_Year3!$D$20="Year 2"), EN_PF_Year3!L38="",  OR($D$20="Year 3", $J$14 =3)))), AND(OR($D$20&lt;&gt;"",$J$14&lt;&gt;""),AND($D$20&lt;&gt;"Year 1",$J$14&lt;&gt;1),L38="", H38&lt;&gt;"", OR(AND(OR(EN_PF_YearY!$J$14= 1, EN_PF_YearY!$D$20="Year 1"), EN_PF_YearY!L38="",  OR($D$20="Year 2", $J$14 =2)), AND(OR(EN_PF_YearY!$J$14= 2, EN_PF_YearY!$D$20="Year 2"), EN_PF_YearY!L38="",  OR($D$20="Year 3", $J$14 =3)))))), "", AND(L38="", H38&lt;&gt;"",$D$14="Yes",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Preliminary score = ",H38), AND(OR($D$20&lt;&gt;"",$J$14&lt;&gt;""),AND($D$20&lt;&gt;"Year 1",$J$14&lt;&gt;1),L38="", H38&lt;&gt;"", OR(AND(OR(EN_PF_Year3!$J$14= 1, EN_PF_Year3!$D$20="Year 1"), EN_PF_Year3!L38&lt;&gt;"",  OR($D$20="Year 2", $J$14 =2)), AND(OR(EN_PF_Year3!$J$14= 2, EN_PF_Year3!$D$20="Year 2"), EN_PF_Year3!L38&lt;&gt;"",  OR($D$20="Year 3", $J$14 =3)))), _xlfn.CONCAT("Validated old score = ",EN_PF_Year3!L38,"          Preliminary score = ",H38), AND(OR($D$20&lt;&gt;"",$J$14&lt;&gt;""),AND($D$20&lt;&gt;"Year 1",$J$14&lt;&gt;1),L38="", H38&lt;&gt;"", OR(AND(OR(EN_PF_YearY!$J$14= 1, EN_PF_YearY!$D$20="Year 1"), EN_PF_YearY!L38&lt;&gt;"",  OR($D$20="Year 2", $J$14 =2)), AND(OR(EN_PF_YearY!$J$14= 2, EN_PF_YearY!$D$20="Year 2"), EN_PF_YearY!L38&lt;&gt;"",  OR($D$20="Year 3", $J$14 =3)))), _xlfn.CONCAT("Validated old score = ",EN_PF_YearY!L38,"          Preliminary score = ",H38), AND(OR($D$20&lt;&gt;"",$J$14&lt;&gt;""),AND($D$20&lt;&gt;"Year 1",$J$14&lt;&gt;1),L38&lt;&gt;"", OR(AND(OR(EN_PF_Year3!$J$14= 1, EN_PF_Year3!$D$20="Year 1"), EN_PF_Year3!L38&lt;&gt;"",  OR($D$20="Year 2", $J$14 =2)), AND(OR(EN_PF_Year3!$J$14= 2, EN_PF_Year3!$D$20="Year 2"), EN_PF_Year3!L38&lt;&gt;"",  OR($D$20="Year 3", $J$14 =3)))), _xlfn.CONCAT("Validated old score = ",EN_PF_Year3!L38,"               Validated new score = ",L38), AND(OR($D$20&lt;&gt;"",$J$14&lt;&gt;""),AND($D$20&lt;&gt;"Year 1",$J$14&lt;&gt;1),L38="", H38&lt;&gt;"", OR(AND(OR(EN_PF_YearY!$J$14= 1, EN_PF_YearY!$D$20="Year 1"), EN_PF_YearY!L38&lt;&gt;"",  OR($D$20="Year 2", $J$14 =2)), AND(OR(EN_PF_YearY!$J$14= 2, EN_PF_YearY!$D$20="Year 2"), EN_PF_YearY!L38&lt;&gt;"",  OR($D$20="Year 3", $J$14 =3)))), _xlfn.CONCAT("Validated old score = ",EN_PF_YearY!L38,"               Validated new score = ",L38),AND(L38&lt;&gt;"",$D$14="Yes",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",EN_PF_QualitativeBaseline!$I$20,"               Validated new score = ",L38), AND(OR($D$14="No", $D$14="", EN_PF_QualitativeBaseline!$I$20=""),OR($D$20="Year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8" s="74"/>
      <c r="M38" s="55"/>
      <c r="N38" s="17"/>
      <c r="O38" s="17"/>
      <c r="R38" s="54"/>
    </row>
    <row r="39" spans="1:18" ht="110.1" customHeight="1" x14ac:dyDescent="0.2">
      <c r="A39" s="17"/>
      <c r="B39" s="425"/>
      <c r="C39" s="341" t="s">
        <v>178</v>
      </c>
      <c r="D39" s="387" t="s">
        <v>329</v>
      </c>
      <c r="E39" s="388"/>
      <c r="F39" s="389"/>
      <c r="G39" s="80"/>
      <c r="H39" s="73" t="str" cm="1">
        <f t="array" ref="H39">_xlfn.IFS(G39=EN_PF_DROPDOWN!G32,"3",G39=EN_PF_DROPDOWN!G33,"2",G39=EN_PF_DROPDOWN!G34,"1",G39=EN_PF_DROPDOWN!G35,"0",G39="","")</f>
        <v/>
      </c>
      <c r="I39" s="55"/>
      <c r="J39" s="62" t="str" cm="1">
        <f t="array" ref="J39">_xlfn.IFS(G39=EN_PF_DROPDOWN!G32,EN_PF_DROPDOWN!I32,G39=EN_PF_DROPDOWN!G33,EN_PF_DROPDOWN!I33,G39=EN_PF_DROPDOWN!G34,EN_PF_DROPDOWN!I34,G39=EN_PF_DROPDOWN!G35,EN_PF_DROPDOWN!I35,G39="","")</f>
        <v/>
      </c>
      <c r="K39" s="78" t="str" cm="1">
        <f t="array" ref="K39">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OR(AND(H39="", L39=""), AND($D$20="",$J$14=""), AND(L39="", H39&lt;&gt;"",$D$14="Yes",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1",$J$14&lt;&gt;1),H39&lt;&gt;"", OR(AND(OR(EN_PF_Year3!$J$14= 1, EN_PF_Year3!$D$20="Year 1"), EN_PF_Year3!L39="",  OR($D$20="Year 2", $J$14 =2)), AND(OR(EN_PF_Year3!$J$14= 2, EN_PF_Year3!$D$20="Year 2"), EN_PF_Year3!L39="",  OR($D$20="Year 3", $J$14 =3)))), AND(OR($D$20&lt;&gt;"",$J$14&lt;&gt;""),AND($D$20&lt;&gt;"Year 1",$J$14&lt;&gt;1),L39="", H39&lt;&gt;"", OR(AND(OR(EN_PF_YearY!$J$14= 1, EN_PF_YearY!$D$20="Year 1"), EN_PF_YearY!L39="",  OR($D$20="Year 2", $J$14 =2)), AND(OR(EN_PF_YearY!$J$14= 2, EN_PF_YearY!$D$20="Year 2"), EN_PF_YearY!L39="",  OR($D$20="Year 3", $J$14 =3)))))), "", AND(L39="", H39&lt;&gt;"",$D$14="Yes",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",EN_PF_QualitativeBaseline!$I$21,"     Preliminary score = ",H39), AND(OR($D$20&lt;&gt;"",$J$14&lt;&gt;""),AND($D$20&lt;&gt;"Year 1",$J$14&lt;&gt;1),L39="", H39&lt;&gt;"", OR(AND(OR(EN_PF_Year3!$J$14= 1, EN_PF_Year3!$D$20="Year 1"), EN_PF_Year3!L39&lt;&gt;"",  OR($D$20="Year 2", $J$14 =2)), AND(OR(EN_PF_Year3!$J$14= 2, EN_PF_Year3!$D$20="Year 2"), EN_PF_Year3!L39&lt;&gt;"",  OR($D$20="Year 3", $J$14 =3)))), _xlfn.CONCAT("Validated old score = ",EN_PF_Year3!L39,"          Preliminary score = ",H39), AND(OR($D$20&lt;&gt;"",$J$14&lt;&gt;""),AND($D$20&lt;&gt;"Year 1",$J$14&lt;&gt;1),L39="", H39&lt;&gt;"", OR(AND(OR(EN_PF_YearY!$J$14= 1, EN_PF_YearY!$D$20="Year 1"), EN_PF_YearY!L39&lt;&gt;"",  OR($D$20="Year 2", $J$14 =2)), AND(OR(EN_PF_YearY!$J$14= 2, EN_PF_YearY!$D$20="Year 2"), EN_PF_YearY!L39&lt;&gt;"",  OR($D$20="Year 3", $J$14 =3)))), _xlfn.CONCAT("Validated old score = ",EN_PF_YearY!L39,"          Preliminary score = ",H39), AND(OR($D$20&lt;&gt;"",$J$14&lt;&gt;""),AND($D$20&lt;&gt;"Year 1",$J$14&lt;&gt;1),L39&lt;&gt;"", OR(AND(OR(EN_PF_Year3!$J$14= 1, EN_PF_Year3!$D$20="Year 1"), EN_PF_Year3!L39&lt;&gt;"",  OR($D$20="Year 2", $J$14 =2)), AND(OR(EN_PF_Year3!$J$14= 2, EN_PF_Year3!$D$20="Year 2"), EN_PF_Year3!L39&lt;&gt;"",  OR($D$20="Year 3", $J$14 =3)))), _xlfn.CONCAT("Validated old score = ",EN_PF_Year3!L39,"               Validated new score = ",L39), AND(OR($D$20&lt;&gt;"",$J$14&lt;&gt;""),AND($D$20&lt;&gt;"Year 1",$J$14&lt;&gt;1),L39="", H39&lt;&gt;"", OR(AND(OR(EN_PF_YearY!$J$14= 1, EN_PF_YearY!$D$20="Year 1"), EN_PF_YearY!L39&lt;&gt;"",  OR($D$20="Year 2", $J$14 =2)), AND(OR(EN_PF_YearY!$J$14= 2, EN_PF_YearY!$D$20="Year 2"), EN_PF_YearY!L39&lt;&gt;"",  OR($D$20="Year 3", $J$14 =3)))), _xlfn.CONCAT("Validated old score = ",EN_PF_YearY!L39,"               Validated new score = ",L39),AND(L39&lt;&gt;"",$D$14="Yes",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",EN_PF_QualitativeBaseline!$I$21,"               Validated new score = ",L39), AND(OR($D$14="No", $D$14="", EN_PF_QualitativeBaseline!$I$21=""),OR($D$20="Year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39" s="74"/>
      <c r="M39" s="55"/>
      <c r="N39" s="17"/>
      <c r="O39" s="17"/>
      <c r="R39" s="54"/>
    </row>
    <row r="40" spans="1:18" ht="110.1" customHeight="1" x14ac:dyDescent="0.2">
      <c r="A40" s="17"/>
      <c r="B40" s="425"/>
      <c r="C40" s="410"/>
      <c r="D40" s="341" t="s">
        <v>383</v>
      </c>
      <c r="E40" s="341"/>
      <c r="F40" s="341"/>
      <c r="G40" s="80"/>
      <c r="H40" s="73" t="str" cm="1">
        <f t="array" ref="H40">_xlfn.IFS(G40=EN_PF_DROPDOWN!G38,"3",G40=EN_PF_DROPDOWN!G39,"2",G40=EN_PF_DROPDOWN!G40,"1",G40=EN_PF_DROPDOWN!G41,"0",G40="","")</f>
        <v/>
      </c>
      <c r="I40" s="55"/>
      <c r="J40" s="62" t="str" cm="1">
        <f t="array" ref="J40">_xlfn.IFS(G40=EN_PF_DROPDOWN!G38,EN_PF_DROPDOWN!I38,G40=EN_PF_DROPDOWN!G39,EN_PF_DROPDOWN!I39,G40=EN_PF_DROPDOWN!G40,EN_PF_DROPDOWN!I40,G40=EN_PF_DROPDOWN!G41,EN_PF_DROPDOWN!I41,G40="","")</f>
        <v/>
      </c>
      <c r="K40" s="78" t="str" cm="1">
        <f t="array" ref="K40">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OR(AND(H40="", L40=""), AND($D$20="",$J$14=""), AND(L40="", H40&lt;&gt;"",$D$14="Yes",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1",$J$14&lt;&gt;1),H40&lt;&gt;"", OR(AND(OR(EN_PF_Year3!$J$14= 1, EN_PF_Year3!$D$20="Year 1"), EN_PF_Year3!L40="",  OR($D$20="Year 2", $J$14 =2)), AND(OR(EN_PF_Year3!$J$14= 2, EN_PF_Year3!$D$20="Year 2"), EN_PF_Year3!L40="",  OR($D$20="Year 3", $J$14 =3)))), AND(OR($D$20&lt;&gt;"",$J$14&lt;&gt;""),AND($D$20&lt;&gt;"Year 1",$J$14&lt;&gt;1),L40="", H40&lt;&gt;"", OR(AND(OR(EN_PF_YearY!$J$14= 1, EN_PF_YearY!$D$20="Year 1"), EN_PF_YearY!L40="",  OR($D$20="Year 2", $J$14 =2)), AND(OR(EN_PF_YearY!$J$14= 2, EN_PF_YearY!$D$20="Year 2"), EN_PF_YearY!L40="",  OR($D$20="Year 3", $J$14 =3)))))), "", AND(L40="", H40&lt;&gt;"",$D$14="Yes",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",EN_PF_QualitativeBaseline!$I$21,"     Preliminary score = ",H40), AND(OR($D$20&lt;&gt;"",$J$14&lt;&gt;""),AND($D$20&lt;&gt;"Year 1",$J$14&lt;&gt;1),L40="", H40&lt;&gt;"", OR(AND(OR(EN_PF_Year3!$J$14= 1, EN_PF_Year3!$D$20="Year 1"), EN_PF_Year3!L40&lt;&gt;"",  OR($D$20="Year 2", $J$14 =2)), AND(OR(EN_PF_Year3!$J$14= 2, EN_PF_Year3!$D$20="Year 2"), EN_PF_Year3!L40&lt;&gt;"",  OR($D$20="Year 3", $J$14 =3)))), _xlfn.CONCAT("Validated old score = ",EN_PF_Year3!L40,"          Preliminary score = ",H40), AND(OR($D$20&lt;&gt;"",$J$14&lt;&gt;""),AND($D$20&lt;&gt;"Year 1",$J$14&lt;&gt;1),L40="", H40&lt;&gt;"", OR(AND(OR(EN_PF_YearY!$J$14= 1, EN_PF_YearY!$D$20="Year 1"), EN_PF_YearY!L40&lt;&gt;"",  OR($D$20="Year 2", $J$14 =2)), AND(OR(EN_PF_YearY!$J$14= 2, EN_PF_YearY!$D$20="Year 2"), EN_PF_YearY!L40&lt;&gt;"",  OR($D$20="Year 3", $J$14 =3)))), _xlfn.CONCAT("Validated old score = ",EN_PF_YearY!L40,"          Preliminary score = ",H40), AND(OR($D$20&lt;&gt;"",$J$14&lt;&gt;""),AND($D$20&lt;&gt;"Year 1",$J$14&lt;&gt;1),L40&lt;&gt;"", OR(AND(OR(EN_PF_Year3!$J$14= 1, EN_PF_Year3!$D$20="Year 1"), EN_PF_Year3!L40&lt;&gt;"",  OR($D$20="Year 2", $J$14 =2)), AND(OR(EN_PF_Year3!$J$14= 2, EN_PF_Year3!$D$20="Year 2"), EN_PF_Year3!L40&lt;&gt;"",  OR($D$20="Year 3", $J$14 =3)))), _xlfn.CONCAT("Validated old score = ",EN_PF_Year3!L40,"               Validated new score = ",L40), AND(OR($D$20&lt;&gt;"",$J$14&lt;&gt;""),AND($D$20&lt;&gt;"Year 1",$J$14&lt;&gt;1),L40="", H40&lt;&gt;"", OR(AND(OR(EN_PF_YearY!$J$14= 1, EN_PF_YearY!$D$20="Year 1"), EN_PF_YearY!L40&lt;&gt;"",  OR($D$20="Year 2", $J$14 =2)), AND(OR(EN_PF_YearY!$J$14= 2, EN_PF_YearY!$D$20="Year 2"), EN_PF_YearY!L40&lt;&gt;"",  OR($D$20="Year 3", $J$14 =3)))), _xlfn.CONCAT("Validated old score = ",EN_PF_YearY!L40,"               Validated new score = ",L40),AND(L40&lt;&gt;"",$D$14="Yes",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",EN_PF_QualitativeBaseline!$I$21,"               Validated new score = ",L40), AND(OR($D$14="No", $D$14="", EN_PF_QualitativeBaseline!$I$21=""),OR($D$20="Year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0" s="74"/>
      <c r="M40" s="55"/>
      <c r="N40" s="17"/>
      <c r="O40" s="17"/>
      <c r="R40" s="54"/>
    </row>
    <row r="41" spans="1:18" ht="110.1" customHeight="1" x14ac:dyDescent="0.2">
      <c r="A41" s="17"/>
      <c r="B41" s="425"/>
      <c r="C41" s="47" t="s">
        <v>157</v>
      </c>
      <c r="D41" s="341" t="s">
        <v>553</v>
      </c>
      <c r="E41" s="341"/>
      <c r="F41" s="341"/>
      <c r="G41" s="80"/>
      <c r="H41" s="73" t="str" cm="1">
        <f t="array" ref="H41">_xlfn.IFS(G41=EN_PF_DROPDOWN!G44,"3",G41=EN_PF_DROPDOWN!G45,"2",G41=EN_PF_DROPDOWN!G46,"1",G41=EN_PF_DROPDOWN!G47,"0",G41="","")</f>
        <v/>
      </c>
      <c r="I41" s="55"/>
      <c r="J41" s="62" t="str" cm="1">
        <f t="array" ref="J41">_xlfn.IFS(G41=EN_PF_DROPDOWN!G44,EN_PF_DROPDOWN!I44,G41=EN_PF_DROPDOWN!G45,EN_PF_DROPDOWN!I45,G41=EN_PF_DROPDOWN!G46,EN_PF_DROPDOWN!I46,G41=EN_PF_DROPDOWN!G47,EN_PF_DROPDOWN!I47,G41="","")</f>
        <v/>
      </c>
      <c r="K41" s="78" t="str" cm="1">
        <f t="array" ref="K41">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OR(AND(H41="", L41=""), AND($D$20="",$J$14=""), AND(L41="", H41&lt;&gt;"",$D$14="Yes",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1",$J$14&lt;&gt;1),H41&lt;&gt;"", OR(AND(OR(EN_PF_Year3!$J$14= 1, EN_PF_Year3!$D$20="Year 1"), EN_PF_Year3!L41="",  OR($D$20="Year 2", $J$14 =2)), AND(OR(EN_PF_Year3!$J$14= 2, EN_PF_Year3!$D$20="Year 2"), EN_PF_Year3!L41="",  OR($D$20="Year 3", $J$14 =3)))), AND(OR($D$20&lt;&gt;"",$J$14&lt;&gt;""),AND($D$20&lt;&gt;"Year 1",$J$14&lt;&gt;1),L41="", H41&lt;&gt;"", OR(AND(OR(EN_PF_YearY!$J$14= 1, EN_PF_YearY!$D$20="Year 1"), EN_PF_YearY!L41="",  OR($D$20="Year 2", $J$14 =2)), AND(OR(EN_PF_YearY!$J$14= 2, EN_PF_YearY!$D$20="Year 2"), EN_PF_YearY!L41="",  OR($D$20="Year 3", $J$14 =3)))))), "", AND(L41="", H41&lt;&gt;"",$D$14="Yes",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",EN_PF_QualitativeBaseline!$I$22,"     Preliminary score = ",H41), AND(OR($D$20&lt;&gt;"",$J$14&lt;&gt;""),AND($D$20&lt;&gt;"Year 1",$J$14&lt;&gt;1),L41="", H41&lt;&gt;"", OR(AND(OR(EN_PF_Year3!$J$14= 1, EN_PF_Year3!$D$20="Year 1"), EN_PF_Year3!L41&lt;&gt;"",  OR($D$20="Year 2", $J$14 =2)), AND(OR(EN_PF_Year3!$J$14= 2, EN_PF_Year3!$D$20="Year 2"), EN_PF_Year3!L41&lt;&gt;"",  OR($D$20="Year 3", $J$14 =3)))), _xlfn.CONCAT("Validated old score = ",EN_PF_Year3!L41,"          Preliminary score = ",H41), AND(OR($D$20&lt;&gt;"",$J$14&lt;&gt;""),AND($D$20&lt;&gt;"Year 1",$J$14&lt;&gt;1),L41="", H41&lt;&gt;"", OR(AND(OR(EN_PF_YearY!$J$14= 1, EN_PF_YearY!$D$20="Year 1"), EN_PF_YearY!L41&lt;&gt;"",  OR($D$20="Year 2", $J$14 =2)), AND(OR(EN_PF_YearY!$J$14= 2, EN_PF_YearY!$D$20="Year 2"), EN_PF_YearY!L41&lt;&gt;"",  OR($D$20="Year 3", $J$14 =3)))), _xlfn.CONCAT("Validated old score = ",EN_PF_YearY!L41,"          Preliminary score = ",H41), AND(OR($D$20&lt;&gt;"",$J$14&lt;&gt;""),AND($D$20&lt;&gt;"Year 1",$J$14&lt;&gt;1),L41&lt;&gt;"", OR(AND(OR(EN_PF_Year3!$J$14= 1, EN_PF_Year3!$D$20="Year 1"), EN_PF_Year3!L41&lt;&gt;"",  OR($D$20="Year 2", $J$14 =2)), AND(OR(EN_PF_Year3!$J$14= 2, EN_PF_Year3!$D$20="Year 2"), EN_PF_Year3!L41&lt;&gt;"",  OR($D$20="Year 3", $J$14 =3)))), _xlfn.CONCAT("Validated old score = ",EN_PF_Year3!L41,"               Validated new score = ",L41), AND(OR($D$20&lt;&gt;"",$J$14&lt;&gt;""),AND($D$20&lt;&gt;"Year 1",$J$14&lt;&gt;1),L41="", H41&lt;&gt;"", OR(AND(OR(EN_PF_YearY!$J$14= 1, EN_PF_YearY!$D$20="Year 1"), EN_PF_YearY!L41&lt;&gt;"",  OR($D$20="Year 2", $J$14 =2)), AND(OR(EN_PF_YearY!$J$14= 2, EN_PF_YearY!$D$20="Year 2"), EN_PF_YearY!L41&lt;&gt;"",  OR($D$20="Year 3", $J$14 =3)))), _xlfn.CONCAT("Validated old score = ",EN_PF_YearY!L41,"               Validated new score = ",L41),AND(L41&lt;&gt;"",$D$14="Yes",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",EN_PF_QualitativeBaseline!$I$22,"               Validated new score = ",L41), AND(OR($D$14="No", $D$14="", EN_PF_QualitativeBaseline!$I$22=""),OR($D$20="Year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1" s="74"/>
      <c r="M41" s="55"/>
      <c r="N41" s="17"/>
      <c r="O41" s="17"/>
      <c r="R41" s="54"/>
    </row>
    <row r="42" spans="1:18" ht="110.1" customHeight="1" x14ac:dyDescent="0.2">
      <c r="A42" s="17"/>
      <c r="B42" s="425"/>
      <c r="C42" s="47" t="s">
        <v>179</v>
      </c>
      <c r="D42" s="341" t="s">
        <v>441</v>
      </c>
      <c r="E42" s="341"/>
      <c r="F42" s="341"/>
      <c r="G42" s="80"/>
      <c r="H42" s="73" t="str" cm="1">
        <f t="array" ref="H42">_xlfn.IFS(G42=EN_PF_DROPDOWN!G50,"3",G42=EN_PF_DROPDOWN!G51,"2",G42=EN_PF_DROPDOWN!G52,"1",G42=EN_PF_DROPDOWN!G53,"0",G42="","")</f>
        <v/>
      </c>
      <c r="I42" s="55"/>
      <c r="J42" s="62" t="str" cm="1">
        <f t="array" ref="J42">_xlfn.IFS(G42=EN_PF_DROPDOWN!G50,EN_PF_DROPDOWN!I50,G42=EN_PF_DROPDOWN!G51,EN_PF_DROPDOWN!I51,G42=EN_PF_DROPDOWN!G52,EN_PF_DROPDOWN!I52,G42=EN_PF_DROPDOWN!G53,EN_PF_DROPDOWN!I53,G42="","")</f>
        <v/>
      </c>
      <c r="K42" s="78" t="str" cm="1">
        <f t="array" ref="K42">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OR(AND(H42="", L42=""), AND($D$20="",$J$14=""), AND(L42="", H42&lt;&gt;"",$D$14="Yes",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1",$J$14&lt;&gt;1),H42&lt;&gt;"", OR(AND(OR(EN_PF_Year3!$J$14= 1, EN_PF_Year3!$D$20="Year 1"), EN_PF_Year3!L42="",  OR($D$20="Year 2", $J$14 =2)), AND(OR(EN_PF_Year3!$J$14= 2, EN_PF_Year3!$D$20="Year 2"), EN_PF_Year3!L42="",  OR($D$20="Year 3", $J$14 =3)))), AND(OR($D$20&lt;&gt;"",$J$14&lt;&gt;""),AND($D$20&lt;&gt;"Year 1",$J$14&lt;&gt;1),L42="", H42&lt;&gt;"", OR(AND(OR(EN_PF_YearY!$J$14= 1, EN_PF_YearY!$D$20="Year 1"), EN_PF_YearY!L42="",  OR($D$20="Year 2", $J$14 =2)), AND(OR(EN_PF_YearY!$J$14= 2, EN_PF_YearY!$D$20="Year 2"), EN_PF_YearY!L42="",  OR($D$20="Year 3", $J$14 =3)))))), "", AND(L42="", H42&lt;&gt;"",$D$14="Yes",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",EN_PF_QualitativeBaseline!$I$23,"     Preliminary score = ",H42), AND(OR($D$20&lt;&gt;"",$J$14&lt;&gt;""),AND($D$20&lt;&gt;"Year 1",$J$14&lt;&gt;1),L42="", H42&lt;&gt;"", OR(AND(OR(EN_PF_Year3!$J$14= 1, EN_PF_Year3!$D$20="Year 1"), EN_PF_Year3!L42&lt;&gt;"",  OR($D$20="Year 2", $J$14 =2)), AND(OR(EN_PF_Year3!$J$14= 2, EN_PF_Year3!$D$20="Year 2"), EN_PF_Year3!L42&lt;&gt;"",  OR($D$20="Year 3", $J$14 =3)))), _xlfn.CONCAT("Validated old score = ",EN_PF_Year3!L42,"          Preliminary score = ",H42), AND(OR($D$20&lt;&gt;"",$J$14&lt;&gt;""),AND($D$20&lt;&gt;"Year 1",$J$14&lt;&gt;1),L42="", H42&lt;&gt;"", OR(AND(OR(EN_PF_YearY!$J$14= 1, EN_PF_YearY!$D$20="Year 1"), EN_PF_YearY!L42&lt;&gt;"",  OR($D$20="Year 2", $J$14 =2)), AND(OR(EN_PF_YearY!$J$14= 2, EN_PF_YearY!$D$20="Year 2"), EN_PF_YearY!L42&lt;&gt;"",  OR($D$20="Year 3", $J$14 =3)))), _xlfn.CONCAT("Validated old score = ",EN_PF_YearY!L42,"          Preliminary score = ",H42), AND(OR($D$20&lt;&gt;"",$J$14&lt;&gt;""),AND($D$20&lt;&gt;"Year 1",$J$14&lt;&gt;1),L42&lt;&gt;"", OR(AND(OR(EN_PF_Year3!$J$14= 1, EN_PF_Year3!$D$20="Year 1"), EN_PF_Year3!L42&lt;&gt;"",  OR($D$20="Year 2", $J$14 =2)), AND(OR(EN_PF_Year3!$J$14= 2, EN_PF_Year3!$D$20="Year 2"), EN_PF_Year3!L42&lt;&gt;"",  OR($D$20="Year 3", $J$14 =3)))), _xlfn.CONCAT("Validated old score = ",EN_PF_Year3!L42,"               Validated new score = ",L42), AND(OR($D$20&lt;&gt;"",$J$14&lt;&gt;""),AND($D$20&lt;&gt;"Year 1",$J$14&lt;&gt;1),L42="", H42&lt;&gt;"", OR(AND(OR(EN_PF_YearY!$J$14= 1, EN_PF_YearY!$D$20="Year 1"), EN_PF_YearY!L42&lt;&gt;"",  OR($D$20="Year 2", $J$14 =2)), AND(OR(EN_PF_YearY!$J$14= 2, EN_PF_YearY!$D$20="Year 2"), EN_PF_YearY!L42&lt;&gt;"",  OR($D$20="Year 3", $J$14 =3)))), _xlfn.CONCAT("Validated old score = ",EN_PF_YearY!L42,"               Validated new score = ",L42),AND(L42&lt;&gt;"",$D$14="Yes",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",EN_PF_QualitativeBaseline!$I$23,"               Validated new score = ",L42), AND(OR($D$14="No", $D$14="", EN_PF_QualitativeBaseline!$I$23=""),OR($D$20="Year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2" s="74"/>
      <c r="M42" s="55"/>
      <c r="N42" s="17"/>
      <c r="O42" s="17"/>
      <c r="R42" s="60"/>
    </row>
    <row r="43" spans="1:18" ht="110.1" customHeight="1" x14ac:dyDescent="0.2">
      <c r="A43" s="43"/>
      <c r="B43" s="428" t="s">
        <v>114</v>
      </c>
      <c r="C43" s="341" t="s">
        <v>182</v>
      </c>
      <c r="D43" s="341" t="s">
        <v>169</v>
      </c>
      <c r="E43" s="341"/>
      <c r="F43" s="341"/>
      <c r="G43" s="80"/>
      <c r="H43" s="73" t="str" cm="1">
        <f t="array" ref="H43">_xlfn.IFS(G43=EN_PF_DROPDOWN!K3,"2",G43=EN_PF_DROPDOWN!K4,"1",G43=EN_PF_DROPDOWN!K5,"0",G43="","")</f>
        <v/>
      </c>
      <c r="I43" s="55"/>
      <c r="J43" s="62" t="str" cm="1">
        <f t="array" ref="J43">_xlfn.IFS(G43=EN_PF_DROPDOWN!K3,EN_PF_DROPDOWN!M3,G43=EN_PF_DROPDOWN!K4,EN_PF_DROPDOWN!M4,G43=EN_PF_DROPDOWN!K5,EN_PF_DROPDOWN!M5,G43="","")</f>
        <v/>
      </c>
      <c r="K43" s="78" t="str" cm="1">
        <f t="array" ref="K43">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OR(AND(H43="", L43=""), AND($D$20="",$J$14=""), AND(L43="", H43&lt;&gt;"",$D$14="Yes",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1",$J$14&lt;&gt;1),H43&lt;&gt;"", OR(AND(OR(EN_PF_Year3!$J$14= 1, EN_PF_Year3!$D$20="Year 1"), EN_PF_Year3!L43="",  OR($D$20="Year 2", $J$14 =2)), AND(OR(EN_PF_Year3!$J$14= 2, EN_PF_Year3!$D$20="Year 2"), EN_PF_Year3!L43="",  OR($D$20="Year 3", $J$14 =3)))), AND(OR($D$20&lt;&gt;"",$J$14&lt;&gt;""),AND($D$20&lt;&gt;"Year 1",$J$14&lt;&gt;1),L43="", H43&lt;&gt;"", OR(AND(OR(EN_PF_YearY!$J$14= 1, EN_PF_YearY!$D$20="Year 1"), EN_PF_YearY!L43="",  OR($D$20="Year 2", $J$14 =2)), AND(OR(EN_PF_YearY!$J$14= 2, EN_PF_YearY!$D$20="Year 2"), EN_PF_YearY!L43="",  OR($D$20="Year 3", $J$14 =3)))))), "", AND(L43="", H43&lt;&gt;"",$D$14="Yes",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",EN_PF_QualitativeBaseline!$I$24,"     Preliminary score = ",H43), AND(OR($D$20&lt;&gt;"",$J$14&lt;&gt;""),AND($D$20&lt;&gt;"Year 1",$J$14&lt;&gt;1),L43="", H43&lt;&gt;"", OR(AND(OR(EN_PF_Year3!$J$14= 1, EN_PF_Year3!$D$20="Year 1"), EN_PF_Year3!L43&lt;&gt;"",  OR($D$20="Year 2", $J$14 =2)), AND(OR(EN_PF_Year3!$J$14= 2, EN_PF_Year3!$D$20="Year 2"), EN_PF_Year3!L43&lt;&gt;"",  OR($D$20="Year 3", $J$14 =3)))), _xlfn.CONCAT("Validated old score = ",EN_PF_Year3!L43,"          Preliminary score = ",H43), AND(OR($D$20&lt;&gt;"",$J$14&lt;&gt;""),AND($D$20&lt;&gt;"Year 1",$J$14&lt;&gt;1),L43="", H43&lt;&gt;"", OR(AND(OR(EN_PF_YearY!$J$14= 1, EN_PF_YearY!$D$20="Year 1"), EN_PF_YearY!L43&lt;&gt;"",  OR($D$20="Year 2", $J$14 =2)), AND(OR(EN_PF_YearY!$J$14= 2, EN_PF_YearY!$D$20="Year 2"), EN_PF_YearY!L43&lt;&gt;"",  OR($D$20="Year 3", $J$14 =3)))), _xlfn.CONCAT("Validated old score = ",EN_PF_YearY!L43,"          Preliminary score = ",H43), AND(OR($D$20&lt;&gt;"",$J$14&lt;&gt;""),AND($D$20&lt;&gt;"Year 1",$J$14&lt;&gt;1),L43&lt;&gt;"", OR(AND(OR(EN_PF_Year3!$J$14= 1, EN_PF_Year3!$D$20="Year 1"), EN_PF_Year3!L43&lt;&gt;"",  OR($D$20="Year 2", $J$14 =2)), AND(OR(EN_PF_Year3!$J$14= 2, EN_PF_Year3!$D$20="Year 2"), EN_PF_Year3!L43&lt;&gt;"",  OR($D$20="Year 3", $J$14 =3)))), _xlfn.CONCAT("Validated old score = ",EN_PF_Year3!L43,"               Validated new score = ",L43), AND(OR($D$20&lt;&gt;"",$J$14&lt;&gt;""),AND($D$20&lt;&gt;"Year 1",$J$14&lt;&gt;1),L43="", H43&lt;&gt;"", OR(AND(OR(EN_PF_YearY!$J$14= 1, EN_PF_YearY!$D$20="Year 1"), EN_PF_YearY!L43&lt;&gt;"",  OR($D$20="Year 2", $J$14 =2)), AND(OR(EN_PF_YearY!$J$14= 2, EN_PF_YearY!$D$20="Year 2"), EN_PF_YearY!L43&lt;&gt;"",  OR($D$20="Year 3", $J$14 =3)))), _xlfn.CONCAT("Validated old score = ",EN_PF_YearY!L43,"               Validated new score = ",L43),AND(L43&lt;&gt;"",$D$14="Yes",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",EN_PF_QualitativeBaseline!$I$24,"               Validated new score = ",L43), AND(OR($D$14="No", $D$14="", EN_PF_QualitativeBaseline!$I$24=""),OR($D$20="Year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3" s="74"/>
      <c r="M43" s="55"/>
      <c r="N43" s="17"/>
      <c r="O43" s="17"/>
    </row>
    <row r="44" spans="1:18" ht="110.1" customHeight="1" x14ac:dyDescent="0.2">
      <c r="A44" s="43"/>
      <c r="B44" s="429"/>
      <c r="C44" s="410"/>
      <c r="D44" s="341" t="s">
        <v>170</v>
      </c>
      <c r="E44" s="341"/>
      <c r="F44" s="341"/>
      <c r="G44" s="80"/>
      <c r="H44" s="73" t="str" cm="1">
        <f t="array" ref="H44">_xlfn.IFS(G44=EN_PF_DROPDOWN!K8,"3",G44=EN_PF_DROPDOWN!K9,"2",G44=EN_PF_DROPDOWN!K10,"1",G44=EN_PF_DROPDOWN!K11,"0",G44="","")</f>
        <v/>
      </c>
      <c r="I44" s="55"/>
      <c r="J44" s="62" t="str" cm="1">
        <f t="array" ref="J44">_xlfn.IFS(G44=EN_PF_DROPDOWN!K8,EN_PF_DROPDOWN!M8,G44=EN_PF_DROPDOWN!K9,EN_PF_DROPDOWN!M9,G44=EN_PF_DROPDOWN!K10,EN_PF_DROPDOWN!M10,G44=EN_PF_DROPDOWN!K11,EN_PF_DROPDOWN!M11,G44="","")</f>
        <v/>
      </c>
      <c r="K44" s="78" t="str" cm="1">
        <f t="array" ref="K44">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OR(AND(H44="", L44=""), AND($D$20="",$J$14=""), AND(L44="", H44&lt;&gt;"",$D$14="Yes",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1",$J$14&lt;&gt;1),H44&lt;&gt;"", OR(AND(OR(EN_PF_Year3!$J$14= 1, EN_PF_Year3!$D$20="Year 1"), EN_PF_Year3!L44="",  OR($D$20="Year 2", $J$14 =2)), AND(OR(EN_PF_Year3!$J$14= 2, EN_PF_Year3!$D$20="Year 2"), EN_PF_Year3!L44="",  OR($D$20="Year 3", $J$14 =3)))), AND(OR($D$20&lt;&gt;"",$J$14&lt;&gt;""),AND($D$20&lt;&gt;"Year 1",$J$14&lt;&gt;1),L44="", H44&lt;&gt;"", OR(AND(OR(EN_PF_YearY!$J$14= 1, EN_PF_YearY!$D$20="Year 1"), EN_PF_YearY!L44="",  OR($D$20="Year 2", $J$14 =2)), AND(OR(EN_PF_YearY!$J$14= 2, EN_PF_YearY!$D$20="Year 2"), EN_PF_YearY!L44="",  OR($D$20="Year 3", $J$14 =3)))))), "", AND(L44="", H44&lt;&gt;"",$D$14="Yes",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",EN_PF_QualitativeBaseline!$I$24,"     Preliminary score = ",H44), AND(OR($D$20&lt;&gt;"",$J$14&lt;&gt;""),AND($D$20&lt;&gt;"Year 1",$J$14&lt;&gt;1),L44="", H44&lt;&gt;"", OR(AND(OR(EN_PF_Year3!$J$14= 1, EN_PF_Year3!$D$20="Year 1"), EN_PF_Year3!L44&lt;&gt;"",  OR($D$20="Year 2", $J$14 =2)), AND(OR(EN_PF_Year3!$J$14= 2, EN_PF_Year3!$D$20="Year 2"), EN_PF_Year3!L44&lt;&gt;"",  OR($D$20="Year 3", $J$14 =3)))), _xlfn.CONCAT("Validated old score = ",EN_PF_Year3!L44,"          Preliminary score = ",H44), AND(OR($D$20&lt;&gt;"",$J$14&lt;&gt;""),AND($D$20&lt;&gt;"Year 1",$J$14&lt;&gt;1),L44="", H44&lt;&gt;"", OR(AND(OR(EN_PF_YearY!$J$14= 1, EN_PF_YearY!$D$20="Year 1"), EN_PF_YearY!L44&lt;&gt;"",  OR($D$20="Year 2", $J$14 =2)), AND(OR(EN_PF_YearY!$J$14= 2, EN_PF_YearY!$D$20="Year 2"), EN_PF_YearY!L44&lt;&gt;"",  OR($D$20="Year 3", $J$14 =3)))), _xlfn.CONCAT("Validated old score = ",EN_PF_YearY!L44,"          Preliminary score = ",H44), AND(OR($D$20&lt;&gt;"",$J$14&lt;&gt;""),AND($D$20&lt;&gt;"Year 1",$J$14&lt;&gt;1),L44&lt;&gt;"", OR(AND(OR(EN_PF_Year3!$J$14= 1, EN_PF_Year3!$D$20="Year 1"), EN_PF_Year3!L44&lt;&gt;"",  OR($D$20="Year 2", $J$14 =2)), AND(OR(EN_PF_Year3!$J$14= 2, EN_PF_Year3!$D$20="Year 2"), EN_PF_Year3!L44&lt;&gt;"",  OR($D$20="Year 3", $J$14 =3)))), _xlfn.CONCAT("Validated old score = ",EN_PF_Year3!L44,"               Validated new score = ",L44), AND(OR($D$20&lt;&gt;"",$J$14&lt;&gt;""),AND($D$20&lt;&gt;"Year 1",$J$14&lt;&gt;1),L44="", H44&lt;&gt;"", OR(AND(OR(EN_PF_YearY!$J$14= 1, EN_PF_YearY!$D$20="Year 1"), EN_PF_YearY!L44&lt;&gt;"",  OR($D$20="Year 2", $J$14 =2)), AND(OR(EN_PF_YearY!$J$14= 2, EN_PF_YearY!$D$20="Year 2"), EN_PF_YearY!L44&lt;&gt;"",  OR($D$20="Year 3", $J$14 =3)))), _xlfn.CONCAT("Validated old score = ",EN_PF_YearY!L44,"               Validated new score = ",L44),AND(L44&lt;&gt;"",$D$14="Yes",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",EN_PF_QualitativeBaseline!$I$24,"               Validated new score = ",L44), AND(OR($D$14="No", $D$14="", EN_PF_QualitativeBaseline!$I$24=""),OR($D$20="Year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4" s="74"/>
      <c r="M44" s="55"/>
      <c r="N44" s="17"/>
      <c r="O44" s="17"/>
    </row>
    <row r="45" spans="1:18" ht="110.1" customHeight="1" x14ac:dyDescent="0.2">
      <c r="A45" s="43"/>
      <c r="B45" s="429"/>
      <c r="C45" s="47" t="s">
        <v>183</v>
      </c>
      <c r="D45" s="341" t="s">
        <v>217</v>
      </c>
      <c r="E45" s="341"/>
      <c r="F45" s="341"/>
      <c r="G45" s="80"/>
      <c r="H45" s="73" t="str" cm="1">
        <f t="array" ref="H45">_xlfn.IFS(G45=EN_PF_DROPDOWN!K14,"3",G45=EN_PF_DROPDOWN!K15,"2",G45=EN_PF_DROPDOWN!K16,"1",G45=EN_PF_DROPDOWN!K17,"0",G45="","")</f>
        <v/>
      </c>
      <c r="I45" s="55"/>
      <c r="J45" s="62" t="str" cm="1">
        <f t="array" ref="J45">_xlfn.IFS(G45=EN_PF_DROPDOWN!K14,EN_PF_DROPDOWN!M14,G45=EN_PF_DROPDOWN!K15,EN_PF_DROPDOWN!M15,G45=EN_PF_DROPDOWN!K16,EN_PF_DROPDOWN!M16,G45=EN_PF_DROPDOWN!K17,EN_PF_DROPDOWN!M17,G45="","")</f>
        <v/>
      </c>
      <c r="K45" s="78" t="str" cm="1">
        <f t="array" ref="K45">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OR(AND(H45="", L45=""), AND($D$20="",$J$14=""), AND(L45="", H45&lt;&gt;"",$D$14="Yes",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1",$J$14&lt;&gt;1),H45&lt;&gt;"", OR(AND(OR(EN_PF_Year3!$J$14= 1, EN_PF_Year3!$D$20="Year 1"), EN_PF_Year3!L45="",  OR($D$20="Year 2", $J$14 =2)), AND(OR(EN_PF_Year3!$J$14= 2, EN_PF_Year3!$D$20="Year 2"), EN_PF_Year3!L45="",  OR($D$20="Year 3", $J$14 =3)))), AND(OR($D$20&lt;&gt;"",$J$14&lt;&gt;""),AND($D$20&lt;&gt;"Year 1",$J$14&lt;&gt;1),L45="", H45&lt;&gt;"", OR(AND(OR(EN_PF_YearY!$J$14= 1, EN_PF_YearY!$D$20="Year 1"), EN_PF_YearY!L45="",  OR($D$20="Year 2", $J$14 =2)), AND(OR(EN_PF_YearY!$J$14= 2, EN_PF_YearY!$D$20="Year 2"), EN_PF_YearY!L45="",  OR($D$20="Year 3", $J$14 =3)))))), "", AND(L45="", H45&lt;&gt;"",$D$14="Yes",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",EN_PF_QualitativeBaseline!$I$25,"     Preliminary score = ",H45), AND(OR($D$20&lt;&gt;"",$J$14&lt;&gt;""),AND($D$20&lt;&gt;"Year 1",$J$14&lt;&gt;1),L45="", H45&lt;&gt;"", OR(AND(OR(EN_PF_Year3!$J$14= 1, EN_PF_Year3!$D$20="Year 1"), EN_PF_Year3!L45&lt;&gt;"",  OR($D$20="Year 2", $J$14 =2)), AND(OR(EN_PF_Year3!$J$14= 2, EN_PF_Year3!$D$20="Year 2"), EN_PF_Year3!L45&lt;&gt;"",  OR($D$20="Year 3", $J$14 =3)))), _xlfn.CONCAT("Validated old score = ",EN_PF_Year3!L45,"          Preliminary score = ",H45), AND(OR($D$20&lt;&gt;"",$J$14&lt;&gt;""),AND($D$20&lt;&gt;"Year 1",$J$14&lt;&gt;1),L45="", H45&lt;&gt;"", OR(AND(OR(EN_PF_YearY!$J$14= 1, EN_PF_YearY!$D$20="Year 1"), EN_PF_YearY!L45&lt;&gt;"",  OR($D$20="Year 2", $J$14 =2)), AND(OR(EN_PF_YearY!$J$14= 2, EN_PF_YearY!$D$20="Year 2"), EN_PF_YearY!L45&lt;&gt;"",  OR($D$20="Year 3", $J$14 =3)))), _xlfn.CONCAT("Validated old score = ",EN_PF_YearY!L45,"          Preliminary score = ",H45), AND(OR($D$20&lt;&gt;"",$J$14&lt;&gt;""),AND($D$20&lt;&gt;"Year 1",$J$14&lt;&gt;1),L45&lt;&gt;"", OR(AND(OR(EN_PF_Year3!$J$14= 1, EN_PF_Year3!$D$20="Year 1"), EN_PF_Year3!L45&lt;&gt;"",  OR($D$20="Year 2", $J$14 =2)), AND(OR(EN_PF_Year3!$J$14= 2, EN_PF_Year3!$D$20="Year 2"), EN_PF_Year3!L45&lt;&gt;"",  OR($D$20="Year 3", $J$14 =3)))), _xlfn.CONCAT("Validated old score = ",EN_PF_Year3!L45,"               Validated new score = ",L45), AND(OR($D$20&lt;&gt;"",$J$14&lt;&gt;""),AND($D$20&lt;&gt;"Year 1",$J$14&lt;&gt;1),L45="", H45&lt;&gt;"", OR(AND(OR(EN_PF_YearY!$J$14= 1, EN_PF_YearY!$D$20="Year 1"), EN_PF_YearY!L45&lt;&gt;"",  OR($D$20="Year 2", $J$14 =2)), AND(OR(EN_PF_YearY!$J$14= 2, EN_PF_YearY!$D$20="Year 2"), EN_PF_YearY!L45&lt;&gt;"",  OR($D$20="Year 3", $J$14 =3)))), _xlfn.CONCAT("Validated old score = ",EN_PF_YearY!L45,"               Validated new score = ",L45),AND(L45&lt;&gt;"",$D$14="Yes",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",EN_PF_QualitativeBaseline!$I$25,"               Validated new score = ",L45), AND(OR($D$14="No", $D$14="", EN_PF_QualitativeBaseline!$I$25=""),OR($D$20="Year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5" s="74"/>
      <c r="M45" s="55"/>
      <c r="N45" s="17"/>
      <c r="O45" s="17"/>
    </row>
    <row r="46" spans="1:18" ht="110.1" customHeight="1" x14ac:dyDescent="0.2">
      <c r="A46" s="43"/>
      <c r="B46" s="429"/>
      <c r="C46" s="47" t="s">
        <v>184</v>
      </c>
      <c r="D46" s="341" t="s">
        <v>390</v>
      </c>
      <c r="E46" s="341"/>
      <c r="F46" s="341"/>
      <c r="G46" s="80"/>
      <c r="H46" s="73" t="str" cm="1">
        <f t="array" ref="H46">_xlfn.IFS(G46=EN_PF_DROPDOWN!K20,"3",G46=EN_PF_DROPDOWN!K21,"2",G46=EN_PF_DROPDOWN!K22,"1",G46=EN_PF_DROPDOWN!K23,"0",G46="","")</f>
        <v/>
      </c>
      <c r="I46" s="55"/>
      <c r="J46" s="62" t="str" cm="1">
        <f t="array" ref="J46">_xlfn.IFS(G46=EN_PF_DROPDOWN!K20,EN_PF_DROPDOWN!M20,G46=EN_PF_DROPDOWN!K21,EN_PF_DROPDOWN!M21,G46=EN_PF_DROPDOWN!K22,EN_PF_DROPDOWN!M22,G46=EN_PF_DROPDOWN!K23,EN_PF_DROPDOWN!M23,G46="","")</f>
        <v/>
      </c>
      <c r="K46" s="78" t="str" cm="1">
        <f t="array" ref="K46">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OR(AND(H46="", L46=""), AND($D$20="",$J$14=""), AND(L46="", H46&lt;&gt;"",$D$14="Yes",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1",$J$14&lt;&gt;1),H46&lt;&gt;"", OR(AND(OR(EN_PF_Year3!$J$14= 1, EN_PF_Year3!$D$20="Year 1"), EN_PF_Year3!L46="",  OR($D$20="Year 2", $J$14 =2)), AND(OR(EN_PF_Year3!$J$14= 2, EN_PF_Year3!$D$20="Year 2"), EN_PF_Year3!L46="",  OR($D$20="Year 3", $J$14 =3)))), AND(OR($D$20&lt;&gt;"",$J$14&lt;&gt;""),AND($D$20&lt;&gt;"Year 1",$J$14&lt;&gt;1),L46="", H46&lt;&gt;"", OR(AND(OR(EN_PF_YearY!$J$14= 1, EN_PF_YearY!$D$20="Year 1"), EN_PF_YearY!L46="",  OR($D$20="Year 2", $J$14 =2)), AND(OR(EN_PF_YearY!$J$14= 2, EN_PF_YearY!$D$20="Year 2"), EN_PF_YearY!L46="",  OR($D$20="Year 3", $J$14 =3)))))), "", AND(L46="", H46&lt;&gt;"",$D$14="Yes",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",EN_PF_QualitativeBaseline!$I$26,"     Preliminary score = ",H46), AND(OR($D$20&lt;&gt;"",$J$14&lt;&gt;""),AND($D$20&lt;&gt;"Year 1",$J$14&lt;&gt;1),L46="", H46&lt;&gt;"", OR(AND(OR(EN_PF_Year3!$J$14= 1, EN_PF_Year3!$D$20="Year 1"), EN_PF_Year3!L46&lt;&gt;"",  OR($D$20="Year 2", $J$14 =2)), AND(OR(EN_PF_Year3!$J$14= 2, EN_PF_Year3!$D$20="Year 2"), EN_PF_Year3!L46&lt;&gt;"",  OR($D$20="Year 3", $J$14 =3)))), _xlfn.CONCAT("Validated old score = ",EN_PF_Year3!L46,"          Preliminary score = ",H46), AND(OR($D$20&lt;&gt;"",$J$14&lt;&gt;""),AND($D$20&lt;&gt;"Year 1",$J$14&lt;&gt;1),L46="", H46&lt;&gt;"", OR(AND(OR(EN_PF_YearY!$J$14= 1, EN_PF_YearY!$D$20="Year 1"), EN_PF_YearY!L46&lt;&gt;"",  OR($D$20="Year 2", $J$14 =2)), AND(OR(EN_PF_YearY!$J$14= 2, EN_PF_YearY!$D$20="Year 2"), EN_PF_YearY!L46&lt;&gt;"",  OR($D$20="Year 3", $J$14 =3)))), _xlfn.CONCAT("Validated old score = ",EN_PF_YearY!L46,"          Preliminary score = ",H46), AND(OR($D$20&lt;&gt;"",$J$14&lt;&gt;""),AND($D$20&lt;&gt;"Year 1",$J$14&lt;&gt;1),L46&lt;&gt;"", OR(AND(OR(EN_PF_Year3!$J$14= 1, EN_PF_Year3!$D$20="Year 1"), EN_PF_Year3!L46&lt;&gt;"",  OR($D$20="Year 2", $J$14 =2)), AND(OR(EN_PF_Year3!$J$14= 2, EN_PF_Year3!$D$20="Year 2"), EN_PF_Year3!L46&lt;&gt;"",  OR($D$20="Year 3", $J$14 =3)))), _xlfn.CONCAT("Validated old score = ",EN_PF_Year3!L46,"               Validated new score = ",L46), AND(OR($D$20&lt;&gt;"",$J$14&lt;&gt;""),AND($D$20&lt;&gt;"Year 1",$J$14&lt;&gt;1),L46="", H46&lt;&gt;"", OR(AND(OR(EN_PF_YearY!$J$14= 1, EN_PF_YearY!$D$20="Year 1"), EN_PF_YearY!L46&lt;&gt;"",  OR($D$20="Year 2", $J$14 =2)), AND(OR(EN_PF_YearY!$J$14= 2, EN_PF_YearY!$D$20="Year 2"), EN_PF_YearY!L46&lt;&gt;"",  OR($D$20="Year 3", $J$14 =3)))), _xlfn.CONCAT("Validated old score = ",EN_PF_YearY!L46,"               Validated new score = ",L46),AND(L46&lt;&gt;"",$D$14="Yes",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",EN_PF_QualitativeBaseline!$I$26,"               Validated new score = ",L46), AND(OR($D$14="No", $D$14="", EN_PF_QualitativeBaseline!$I$26=""),OR($D$20="Year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6" s="74"/>
      <c r="M46" s="55"/>
      <c r="N46" s="17"/>
      <c r="O46" s="17"/>
    </row>
    <row r="47" spans="1:18" ht="110.1" customHeight="1" x14ac:dyDescent="0.2">
      <c r="A47" s="43"/>
      <c r="B47" s="429"/>
      <c r="C47" s="47" t="s">
        <v>185</v>
      </c>
      <c r="D47" s="341" t="s">
        <v>171</v>
      </c>
      <c r="E47" s="341"/>
      <c r="F47" s="341"/>
      <c r="G47" s="80"/>
      <c r="H47" s="73" t="str" cm="1">
        <f t="array" ref="H47">_xlfn.IFS(G47=EN_PF_DROPDOWN!K26,"3",G47=EN_PF_DROPDOWN!K27,"2",G47=EN_PF_DROPDOWN!K28,"1",G47=EN_PF_DROPDOWN!K29,"0",G47="","")</f>
        <v/>
      </c>
      <c r="I47" s="55"/>
      <c r="J47" s="62" t="str" cm="1">
        <f t="array" ref="J47">_xlfn.IFS(G47=EN_PF_DROPDOWN!K26,EN_PF_DROPDOWN!M26,G47=EN_PF_DROPDOWN!K27,EN_PF_DROPDOWN!M27,G47=EN_PF_DROPDOWN!K28,EN_PF_DROPDOWN!M28,G47=EN_PF_DROPDOWN!K29,EN_PF_DROPDOWN!M29,G47="","")</f>
        <v/>
      </c>
      <c r="K47" s="78" t="str" cm="1">
        <f t="array" ref="K47">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OR(AND(H47="", L47=""), AND($D$20="",$J$14=""), AND(L47="", H47&lt;&gt;"",$D$14="Yes",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1",$J$14&lt;&gt;1),H47&lt;&gt;"", OR(AND(OR(EN_PF_Year3!$J$14= 1, EN_PF_Year3!$D$20="Year 1"), EN_PF_Year3!L47="",  OR($D$20="Year 2", $J$14 =2)), AND(OR(EN_PF_Year3!$J$14= 2, EN_PF_Year3!$D$20="Year 2"), EN_PF_Year3!L47="",  OR($D$20="Year 3", $J$14 =3)))), AND(OR($D$20&lt;&gt;"",$J$14&lt;&gt;""),AND($D$20&lt;&gt;"Year 1",$J$14&lt;&gt;1),L47="", H47&lt;&gt;"", OR(AND(OR(EN_PF_YearY!$J$14= 1, EN_PF_YearY!$D$20="Year 1"), EN_PF_YearY!L47="",  OR($D$20="Year 2", $J$14 =2)), AND(OR(EN_PF_YearY!$J$14= 2, EN_PF_YearY!$D$20="Year 2"), EN_PF_YearY!L47="",  OR($D$20="Year 3", $J$14 =3)))))), "", AND(L47="", H47&lt;&gt;"",$D$14="Yes",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",EN_PF_QualitativeBaseline!$I$27,"     Preliminary score = ",H47), AND(OR($D$20&lt;&gt;"",$J$14&lt;&gt;""),AND($D$20&lt;&gt;"Year 1",$J$14&lt;&gt;1),L47="", H47&lt;&gt;"", OR(AND(OR(EN_PF_Year3!$J$14= 1, EN_PF_Year3!$D$20="Year 1"), EN_PF_Year3!L47&lt;&gt;"",  OR($D$20="Year 2", $J$14 =2)), AND(OR(EN_PF_Year3!$J$14= 2, EN_PF_Year3!$D$20="Year 2"), EN_PF_Year3!L47&lt;&gt;"",  OR($D$20="Year 3", $J$14 =3)))), _xlfn.CONCAT("Validated old score = ",EN_PF_Year3!L47,"          Preliminary score = ",H47), AND(OR($D$20&lt;&gt;"",$J$14&lt;&gt;""),AND($D$20&lt;&gt;"Year 1",$J$14&lt;&gt;1),L47="", H47&lt;&gt;"", OR(AND(OR(EN_PF_YearY!$J$14= 1, EN_PF_YearY!$D$20="Year 1"), EN_PF_YearY!L47&lt;&gt;"",  OR($D$20="Year 2", $J$14 =2)), AND(OR(EN_PF_YearY!$J$14= 2, EN_PF_YearY!$D$20="Year 2"), EN_PF_YearY!L47&lt;&gt;"",  OR($D$20="Year 3", $J$14 =3)))), _xlfn.CONCAT("Validated old score = ",EN_PF_YearY!L47,"          Preliminary score = ",H47), AND(OR($D$20&lt;&gt;"",$J$14&lt;&gt;""),AND($D$20&lt;&gt;"Year 1",$J$14&lt;&gt;1),L47&lt;&gt;"", OR(AND(OR(EN_PF_Year3!$J$14= 1, EN_PF_Year3!$D$20="Year 1"), EN_PF_Year3!L47&lt;&gt;"",  OR($D$20="Year 2", $J$14 =2)), AND(OR(EN_PF_Year3!$J$14= 2, EN_PF_Year3!$D$20="Year 2"), EN_PF_Year3!L47&lt;&gt;"",  OR($D$20="Year 3", $J$14 =3)))), _xlfn.CONCAT("Validated old score = ",EN_PF_Year3!L47,"               Validated new score = ",L47), AND(OR($D$20&lt;&gt;"",$J$14&lt;&gt;""),AND($D$20&lt;&gt;"Year 1",$J$14&lt;&gt;1),L47="", H47&lt;&gt;"", OR(AND(OR(EN_PF_YearY!$J$14= 1, EN_PF_YearY!$D$20="Year 1"), EN_PF_YearY!L47&lt;&gt;"",  OR($D$20="Year 2", $J$14 =2)), AND(OR(EN_PF_YearY!$J$14= 2, EN_PF_YearY!$D$20="Year 2"), EN_PF_YearY!L47&lt;&gt;"",  OR($D$20="Year 3", $J$14 =3)))), _xlfn.CONCAT("Validated old score = ",EN_PF_YearY!L47,"               Validated new score = ",L47),AND(L47&lt;&gt;"",$D$14="Yes",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",EN_PF_QualitativeBaseline!$I$27,"               Validated new score = ",L47), AND(OR($D$14="No", $D$14="", EN_PF_QualitativeBaseline!$I$27=""),OR($D$20="Year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7" s="74"/>
      <c r="M47" s="55"/>
      <c r="N47" s="17"/>
      <c r="O47" s="17"/>
    </row>
    <row r="48" spans="1:18" ht="110.1" customHeight="1" x14ac:dyDescent="0.2">
      <c r="A48" s="17"/>
      <c r="B48" s="430" t="s">
        <v>118</v>
      </c>
      <c r="C48" s="341" t="s">
        <v>186</v>
      </c>
      <c r="D48" s="341" t="s">
        <v>611</v>
      </c>
      <c r="E48" s="341"/>
      <c r="F48" s="341"/>
      <c r="G48" s="80"/>
      <c r="H48" s="73" t="str" cm="1">
        <f t="array" ref="H48">_xlfn.IFS(G48=EN_PF_DROPDOWN!O3,"3",G48=EN_PF_DROPDOWN!O4,"2",G48=EN_PF_DROPDOWN!O5,"1",G48=EN_PF_DROPDOWN!O6,"0",G48="","")</f>
        <v/>
      </c>
      <c r="I48" s="55"/>
      <c r="J48" s="62" t="str" cm="1">
        <f t="array" ref="J48">_xlfn.IFS(G48=EN_PF_DROPDOWN!O3,EN_PF_DROPDOWN!Q3,G48=EN_PF_DROPDOWN!O4,EN_PF_DROPDOWN!Q4,G48=EN_PF_DROPDOWN!O5,EN_PF_DROPDOWN!Q5,G48=EN_PF_DROPDOWN!O6,EN_PF_DROPDOWN!Q6,G48="","")</f>
        <v/>
      </c>
      <c r="K48" s="78" t="str" cm="1">
        <f t="array" ref="K48">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OR(AND(H48="", L48=""), AND($D$20="",$J$14=""), AND(L48="", H48&lt;&gt;"",$D$14="Yes",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1",$J$14&lt;&gt;1),H48&lt;&gt;"", OR(AND(OR(EN_PF_Year3!$J$14= 1, EN_PF_Year3!$D$20="Year 1"), EN_PF_Year3!L48="",  OR($D$20="Year 2", $J$14 =2)), AND(OR(EN_PF_Year3!$J$14= 2, EN_PF_Year3!$D$20="Year 2"), EN_PF_Year3!L48="",  OR($D$20="Year 3", $J$14 =3)))), AND(OR($D$20&lt;&gt;"",$J$14&lt;&gt;""),AND($D$20&lt;&gt;"Year 1",$J$14&lt;&gt;1),L48="", H48&lt;&gt;"", OR(AND(OR(EN_PF_YearY!$J$14= 1, EN_PF_YearY!$D$20="Year 1"), EN_PF_YearY!L48="",  OR($D$20="Year 2", $J$14 =2)), AND(OR(EN_PF_YearY!$J$14= 2, EN_PF_YearY!$D$20="Year 2"), EN_PF_YearY!L48="",  OR($D$20="Year 3", $J$14 =3)))))), "", AND(L48="", H48&lt;&gt;"",$D$14="Yes",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",EN_PF_QualitativeBaseline!$I$28,"     Preliminary score = ",H48), AND(OR($D$20&lt;&gt;"",$J$14&lt;&gt;""),AND($D$20&lt;&gt;"Year 1",$J$14&lt;&gt;1),L48="", H48&lt;&gt;"", OR(AND(OR(EN_PF_Year3!$J$14= 1, EN_PF_Year3!$D$20="Year 1"), EN_PF_Year3!L48&lt;&gt;"",  OR($D$20="Year 2", $J$14 =2)), AND(OR(EN_PF_Year3!$J$14= 2, EN_PF_Year3!$D$20="Year 2"), EN_PF_Year3!L48&lt;&gt;"",  OR($D$20="Year 3", $J$14 =3)))), _xlfn.CONCAT("Validated old score = ",EN_PF_Year3!L48,"          Preliminary score = ",H48), AND(OR($D$20&lt;&gt;"",$J$14&lt;&gt;""),AND($D$20&lt;&gt;"Year 1",$J$14&lt;&gt;1),L48="", H48&lt;&gt;"", OR(AND(OR(EN_PF_YearY!$J$14= 1, EN_PF_YearY!$D$20="Year 1"), EN_PF_YearY!L48&lt;&gt;"",  OR($D$20="Year 2", $J$14 =2)), AND(OR(EN_PF_YearY!$J$14= 2, EN_PF_YearY!$D$20="Year 2"), EN_PF_YearY!L48&lt;&gt;"",  OR($D$20="Year 3", $J$14 =3)))), _xlfn.CONCAT("Validated old score = ",EN_PF_YearY!L48,"          Preliminary score = ",H48), AND(OR($D$20&lt;&gt;"",$J$14&lt;&gt;""),AND($D$20&lt;&gt;"Year 1",$J$14&lt;&gt;1),L48&lt;&gt;"", OR(AND(OR(EN_PF_Year3!$J$14= 1, EN_PF_Year3!$D$20="Year 1"), EN_PF_Year3!L48&lt;&gt;"",  OR($D$20="Year 2", $J$14 =2)), AND(OR(EN_PF_Year3!$J$14= 2, EN_PF_Year3!$D$20="Year 2"), EN_PF_Year3!L48&lt;&gt;"",  OR($D$20="Year 3", $J$14 =3)))), _xlfn.CONCAT("Validated old score = ",EN_PF_Year3!L48,"               Validated new score = ",L48), AND(OR($D$20&lt;&gt;"",$J$14&lt;&gt;""),AND($D$20&lt;&gt;"Year 1",$J$14&lt;&gt;1),L48="", H48&lt;&gt;"", OR(AND(OR(EN_PF_YearY!$J$14= 1, EN_PF_YearY!$D$20="Year 1"), EN_PF_YearY!L48&lt;&gt;"",  OR($D$20="Year 2", $J$14 =2)), AND(OR(EN_PF_YearY!$J$14= 2, EN_PF_YearY!$D$20="Year 2"), EN_PF_YearY!L48&lt;&gt;"",  OR($D$20="Year 3", $J$14 =3)))), _xlfn.CONCAT("Validated old score = ",EN_PF_YearY!L48,"               Validated new score = ",L48),AND(L48&lt;&gt;"",$D$14="Yes",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",EN_PF_QualitativeBaseline!$I$28,"               Validated new score = ",L48), AND(OR($D$14="No", $D$14="", EN_PF_QualitativeBaseline!$I$28=""),OR($D$20="Year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8" s="74"/>
      <c r="M48" s="55"/>
      <c r="N48" s="17"/>
      <c r="O48" s="17"/>
    </row>
    <row r="49" spans="1:15" ht="110.1" customHeight="1" x14ac:dyDescent="0.2">
      <c r="A49" s="17"/>
      <c r="B49" s="430"/>
      <c r="C49" s="410"/>
      <c r="D49" s="341" t="s">
        <v>654</v>
      </c>
      <c r="E49" s="341"/>
      <c r="F49" s="341"/>
      <c r="G49" s="80"/>
      <c r="H49" s="73" t="str" cm="1">
        <f t="array" ref="H49">_xlfn.IFS(G49=EN_PF_DROPDOWN!O9,"3",G49=EN_PF_DROPDOWN!O10,"2",G49=EN_PF_DROPDOWN!O11,"1",G49=EN_PF_DROPDOWN!O12,"0",G49="","")</f>
        <v/>
      </c>
      <c r="I49" s="55"/>
      <c r="J49" s="62" t="str" cm="1">
        <f t="array" ref="J49">_xlfn.IFS(G49=EN_PF_DROPDOWN!O9,EN_PF_DROPDOWN!Q9,G49=EN_PF_DROPDOWN!O10,EN_PF_DROPDOWN!Q10,G49=EN_PF_DROPDOWN!O11,EN_PF_DROPDOWN!Q11,G49=EN_PF_DROPDOWN!O12,EN_PF_DROPDOWN!Q12,G49="","")</f>
        <v/>
      </c>
      <c r="K49" s="78" t="str" cm="1">
        <f t="array" ref="K49">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OR(AND(H49="", L49=""), AND($D$20="",$J$14=""), AND(L49="", H49&lt;&gt;"",$D$14="Yes",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1",$J$14&lt;&gt;1),H49&lt;&gt;"", OR(AND(OR(EN_PF_Year3!$J$14= 1, EN_PF_Year3!$D$20="Year 1"), EN_PF_Year3!L49="",  OR($D$20="Year 2", $J$14 =2)), AND(OR(EN_PF_Year3!$J$14= 2, EN_PF_Year3!$D$20="Year 2"), EN_PF_Year3!L49="",  OR($D$20="Year 3", $J$14 =3)))), AND(OR($D$20&lt;&gt;"",$J$14&lt;&gt;""),AND($D$20&lt;&gt;"Year 1",$J$14&lt;&gt;1),L49="", H49&lt;&gt;"", OR(AND(OR(EN_PF_YearY!$J$14= 1, EN_PF_YearY!$D$20="Year 1"), EN_PF_YearY!L49="",  OR($D$20="Year 2", $J$14 =2)), AND(OR(EN_PF_YearY!$J$14= 2, EN_PF_YearY!$D$20="Year 2"), EN_PF_YearY!L49="",  OR($D$20="Year 3", $J$14 =3)))))), "", AND(L49="", H49&lt;&gt;"",$D$14="Yes",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",EN_PF_QualitativeBaseline!$I$28,"     Preliminary score = ",H49), AND(OR($D$20&lt;&gt;"",$J$14&lt;&gt;""),AND($D$20&lt;&gt;"Year 1",$J$14&lt;&gt;1),L49="", H49&lt;&gt;"", OR(AND(OR(EN_PF_Year3!$J$14= 1, EN_PF_Year3!$D$20="Year 1"), EN_PF_Year3!L49&lt;&gt;"",  OR($D$20="Year 2", $J$14 =2)), AND(OR(EN_PF_Year3!$J$14= 2, EN_PF_Year3!$D$20="Year 2"), EN_PF_Year3!L49&lt;&gt;"",  OR($D$20="Year 3", $J$14 =3)))), _xlfn.CONCAT("Validated old score = ",EN_PF_Year3!L49,"          Preliminary score = ",H49), AND(OR($D$20&lt;&gt;"",$J$14&lt;&gt;""),AND($D$20&lt;&gt;"Year 1",$J$14&lt;&gt;1),L49="", H49&lt;&gt;"", OR(AND(OR(EN_PF_YearY!$J$14= 1, EN_PF_YearY!$D$20="Year 1"), EN_PF_YearY!L49&lt;&gt;"",  OR($D$20="Year 2", $J$14 =2)), AND(OR(EN_PF_YearY!$J$14= 2, EN_PF_YearY!$D$20="Year 2"), EN_PF_YearY!L49&lt;&gt;"",  OR($D$20="Year 3", $J$14 =3)))), _xlfn.CONCAT("Validated old score = ",EN_PF_YearY!L49,"          Preliminary score = ",H49), AND(OR($D$20&lt;&gt;"",$J$14&lt;&gt;""),AND($D$20&lt;&gt;"Year 1",$J$14&lt;&gt;1),L49&lt;&gt;"", OR(AND(OR(EN_PF_Year3!$J$14= 1, EN_PF_Year3!$D$20="Year 1"), EN_PF_Year3!L49&lt;&gt;"",  OR($D$20="Year 2", $J$14 =2)), AND(OR(EN_PF_Year3!$J$14= 2, EN_PF_Year3!$D$20="Year 2"), EN_PF_Year3!L49&lt;&gt;"",  OR($D$20="Year 3", $J$14 =3)))), _xlfn.CONCAT("Validated old score = ",EN_PF_Year3!L49,"               Validated new score = ",L49), AND(OR($D$20&lt;&gt;"",$J$14&lt;&gt;""),AND($D$20&lt;&gt;"Year 1",$J$14&lt;&gt;1),L49="", H49&lt;&gt;"", OR(AND(OR(EN_PF_YearY!$J$14= 1, EN_PF_YearY!$D$20="Year 1"), EN_PF_YearY!L49&lt;&gt;"",  OR($D$20="Year 2", $J$14 =2)), AND(OR(EN_PF_YearY!$J$14= 2, EN_PF_YearY!$D$20="Year 2"), EN_PF_YearY!L49&lt;&gt;"",  OR($D$20="Year 3", $J$14 =3)))), _xlfn.CONCAT("Validated old score = ",EN_PF_YearY!L49,"               Validated new score = ",L49),AND(L49&lt;&gt;"",$D$14="Yes",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",EN_PF_QualitativeBaseline!$I$28,"               Validated new score = ",L49), AND(OR($D$14="No", $D$14="", EN_PF_QualitativeBaseline!$I$28=""),OR($D$20="Year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49" s="74"/>
      <c r="M49" s="55"/>
      <c r="N49" s="17"/>
      <c r="O49" s="17"/>
    </row>
    <row r="50" spans="1:15" ht="110.1" customHeight="1" x14ac:dyDescent="0.2">
      <c r="A50" s="17"/>
      <c r="B50" s="430"/>
      <c r="C50" s="410"/>
      <c r="D50" s="341" t="s">
        <v>575</v>
      </c>
      <c r="E50" s="341"/>
      <c r="F50" s="341"/>
      <c r="G50" s="80"/>
      <c r="H50" s="73" t="str" cm="1">
        <f t="array" ref="H50">_xlfn.IFS(G50=EN_PF_DROPDOWN!O15,"3",G50=EN_PF_DROPDOWN!O16,"1",G50=EN_PF_DROPDOWN!O17,"0",G50="","")</f>
        <v/>
      </c>
      <c r="I50" s="55"/>
      <c r="J50" s="62" t="str" cm="1">
        <f t="array" ref="J50">_xlfn.IFS(G50=EN_PF_DROPDOWN!O15,EN_PF_DROPDOWN!Q15,G50=EN_PF_DROPDOWN!O16,EN_PF_DROPDOWN!Q16,G50=EN_PF_DROPDOWN!O17,EN_PF_DROPDOWN!Q17,G50="","")</f>
        <v/>
      </c>
      <c r="K50" s="78" t="str" cm="1">
        <f t="array" ref="K50">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OR(AND(H50="", L50=""), AND($D$20="",$J$14=""), AND(L50="", H50&lt;&gt;"",$D$14="Yes",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1",$J$14&lt;&gt;1),H50&lt;&gt;"", OR(AND(OR(EN_PF_Year3!$J$14= 1, EN_PF_Year3!$D$20="Year 1"), EN_PF_Year3!L50="",  OR($D$20="Year 2", $J$14 =2)), AND(OR(EN_PF_Year3!$J$14= 2, EN_PF_Year3!$D$20="Year 2"), EN_PF_Year3!L50="",  OR($D$20="Year 3", $J$14 =3)))), AND(OR($D$20&lt;&gt;"",$J$14&lt;&gt;""),AND($D$20&lt;&gt;"Year 1",$J$14&lt;&gt;1),L50="", H50&lt;&gt;"", OR(AND(OR(EN_PF_YearY!$J$14= 1, EN_PF_YearY!$D$20="Year 1"), EN_PF_YearY!L50="",  OR($D$20="Year 2", $J$14 =2)), AND(OR(EN_PF_YearY!$J$14= 2, EN_PF_YearY!$D$20="Year 2"), EN_PF_YearY!L50="",  OR($D$20="Year 3", $J$14 =3)))))), "", AND(L50="", H50&lt;&gt;"",$D$14="Yes",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",EN_PF_QualitativeBaseline!$I$28,"     Preliminary score = ",H50), AND(OR($D$20&lt;&gt;"",$J$14&lt;&gt;""),AND($D$20&lt;&gt;"Year 1",$J$14&lt;&gt;1),L50="", H50&lt;&gt;"", OR(AND(OR(EN_PF_Year3!$J$14= 1, EN_PF_Year3!$D$20="Year 1"), EN_PF_Year3!L50&lt;&gt;"",  OR($D$20="Year 2", $J$14 =2)), AND(OR(EN_PF_Year3!$J$14= 2, EN_PF_Year3!$D$20="Year 2"), EN_PF_Year3!L50&lt;&gt;"",  OR($D$20="Year 3", $J$14 =3)))), _xlfn.CONCAT("Validated old score = ",EN_PF_Year3!L50,"          Preliminary score = ",H50), AND(OR($D$20&lt;&gt;"",$J$14&lt;&gt;""),AND($D$20&lt;&gt;"Year 1",$J$14&lt;&gt;1),L50="", H50&lt;&gt;"", OR(AND(OR(EN_PF_YearY!$J$14= 1, EN_PF_YearY!$D$20="Year 1"), EN_PF_YearY!L50&lt;&gt;"",  OR($D$20="Year 2", $J$14 =2)), AND(OR(EN_PF_YearY!$J$14= 2, EN_PF_YearY!$D$20="Year 2"), EN_PF_YearY!L50&lt;&gt;"",  OR($D$20="Year 3", $J$14 =3)))), _xlfn.CONCAT("Validated old score = ",EN_PF_YearY!L50,"          Preliminary score = ",H50), AND(OR($D$20&lt;&gt;"",$J$14&lt;&gt;""),AND($D$20&lt;&gt;"Year 1",$J$14&lt;&gt;1),L50&lt;&gt;"", OR(AND(OR(EN_PF_Year3!$J$14= 1, EN_PF_Year3!$D$20="Year 1"), EN_PF_Year3!L50&lt;&gt;"",  OR($D$20="Year 2", $J$14 =2)), AND(OR(EN_PF_Year3!$J$14= 2, EN_PF_Year3!$D$20="Year 2"), EN_PF_Year3!L50&lt;&gt;"",  OR($D$20="Year 3", $J$14 =3)))), _xlfn.CONCAT("Validated old score = ",EN_PF_Year3!L50,"               Validated new score = ",L50), AND(OR($D$20&lt;&gt;"",$J$14&lt;&gt;""),AND($D$20&lt;&gt;"Year 1",$J$14&lt;&gt;1),L50="", H50&lt;&gt;"", OR(AND(OR(EN_PF_YearY!$J$14= 1, EN_PF_YearY!$D$20="Year 1"), EN_PF_YearY!L50&lt;&gt;"",  OR($D$20="Year 2", $J$14 =2)), AND(OR(EN_PF_YearY!$J$14= 2, EN_PF_YearY!$D$20="Year 2"), EN_PF_YearY!L50&lt;&gt;"",  OR($D$20="Year 3", $J$14 =3)))), _xlfn.CONCAT("Validated old score = ",EN_PF_YearY!L50,"               Validated new score = ",L50),AND(L50&lt;&gt;"",$D$14="Yes",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",EN_PF_QualitativeBaseline!$I$28,"               Validated new score = ",L50), AND(OR($D$14="No", $D$14="", EN_PF_QualitativeBaseline!$I$28=""),OR($D$20="Year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50" s="74"/>
      <c r="M50" s="55"/>
      <c r="N50" s="17"/>
      <c r="O50" s="17"/>
    </row>
    <row r="51" spans="1:15" ht="110.1" customHeight="1" x14ac:dyDescent="0.2">
      <c r="A51" s="17"/>
      <c r="B51" s="430"/>
      <c r="C51" s="407" t="s">
        <v>681</v>
      </c>
      <c r="D51" s="341" t="s">
        <v>658</v>
      </c>
      <c r="E51" s="341"/>
      <c r="F51" s="341"/>
      <c r="G51" s="80"/>
      <c r="H51" s="73" t="str" cm="1">
        <f t="array" ref="H51">_xlfn.IFS(G51=EN_PF_DROPDOWN!O20,"3",G51=EN_PF_DROPDOWN!O21,"2",G51=EN_PF_DROPDOWN!O22,"1",G51=EN_PF_DROPDOWN!O23,"0",G51="","")</f>
        <v/>
      </c>
      <c r="I51" s="55"/>
      <c r="J51" s="62" t="str" cm="1">
        <f t="array" ref="J51">_xlfn.IFS(G51=EN_PF_DROPDOWN!O20,EN_PF_DROPDOWN!Q20,G51=EN_PF_DROPDOWN!O21,EN_PF_DROPDOWN!Q21,G51=EN_PF_DROPDOWN!O22,EN_PF_DROPDOWN!Q22,G51=EN_PF_DROPDOWN!O23,EN_PF_DROPDOWN!Q23,G51="","")</f>
        <v/>
      </c>
      <c r="K51" s="78" t="str" cm="1">
        <f t="array" ref="K51">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OR(AND(H51="", L51=""), AND($D$20="",$J$14=""), AND(L51="", H51&lt;&gt;"",$D$14="Yes",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1",$J$14&lt;&gt;1),H51&lt;&gt;"", OR(AND(OR(EN_PF_Year3!$J$14= 1, EN_PF_Year3!$D$20="Year 1"), EN_PF_Year3!L51="",  OR($D$20="Year 2", $J$14 =2)), AND(OR(EN_PF_Year3!$J$14= 2, EN_PF_Year3!$D$20="Year 2"), EN_PF_Year3!L51="",  OR($D$20="Year 3", $J$14 =3)))), AND(OR($D$20&lt;&gt;"",$J$14&lt;&gt;""),AND($D$20&lt;&gt;"Year 1",$J$14&lt;&gt;1),L51="", H51&lt;&gt;"", OR(AND(OR(EN_PF_YearY!$J$14= 1, EN_PF_YearY!$D$20="Year 1"), EN_PF_YearY!L51="",  OR($D$20="Year 2", $J$14 =2)), AND(OR(EN_PF_YearY!$J$14= 2, EN_PF_YearY!$D$20="Year 2"), EN_PF_YearY!L51="",  OR($D$20="Year 3", $J$14 =3)))))), "", AND(L51="", H51&lt;&gt;"",$D$14="Yes",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",EN_PF_QualitativeBaseline!$I$29,"     Preliminary score = ",H51), AND(OR($D$20&lt;&gt;"",$J$14&lt;&gt;""),AND($D$20&lt;&gt;"Year 1",$J$14&lt;&gt;1),L51="", H51&lt;&gt;"", OR(AND(OR(EN_PF_Year3!$J$14= 1, EN_PF_Year3!$D$20="Year 1"), EN_PF_Year3!L51&lt;&gt;"",  OR($D$20="Year 2", $J$14 =2)), AND(OR(EN_PF_Year3!$J$14= 2, EN_PF_Year3!$D$20="Year 2"), EN_PF_Year3!L51&lt;&gt;"",  OR($D$20="Year 3", $J$14 =3)))), _xlfn.CONCAT("Validated old score = ",EN_PF_Year3!L51,"          Preliminary score = ",H51), AND(OR($D$20&lt;&gt;"",$J$14&lt;&gt;""),AND($D$20&lt;&gt;"Year 1",$J$14&lt;&gt;1),L51="", H51&lt;&gt;"", OR(AND(OR(EN_PF_YearY!$J$14= 1, EN_PF_YearY!$D$20="Year 1"), EN_PF_YearY!L51&lt;&gt;"",  OR($D$20="Year 2", $J$14 =2)), AND(OR(EN_PF_YearY!$J$14= 2, EN_PF_YearY!$D$20="Year 2"), EN_PF_YearY!L51&lt;&gt;"",  OR($D$20="Year 3", $J$14 =3)))), _xlfn.CONCAT("Validated old score = ",EN_PF_YearY!L51,"          Preliminary score = ",H51), AND(OR($D$20&lt;&gt;"",$J$14&lt;&gt;""),AND($D$20&lt;&gt;"Year 1",$J$14&lt;&gt;1),L51&lt;&gt;"", OR(AND(OR(EN_PF_Year3!$J$14= 1, EN_PF_Year3!$D$20="Year 1"), EN_PF_Year3!L51&lt;&gt;"",  OR($D$20="Year 2", $J$14 =2)), AND(OR(EN_PF_Year3!$J$14= 2, EN_PF_Year3!$D$20="Year 2"), EN_PF_Year3!L51&lt;&gt;"",  OR($D$20="Year 3", $J$14 =3)))), _xlfn.CONCAT("Validated old score = ",EN_PF_Year3!L51,"               Validated new score = ",L51), AND(OR($D$20&lt;&gt;"",$J$14&lt;&gt;""),AND($D$20&lt;&gt;"Year 1",$J$14&lt;&gt;1),L51="", H51&lt;&gt;"", OR(AND(OR(EN_PF_YearY!$J$14= 1, EN_PF_YearY!$D$20="Year 1"), EN_PF_YearY!L51&lt;&gt;"",  OR($D$20="Year 2", $J$14 =2)), AND(OR(EN_PF_YearY!$J$14= 2, EN_PF_YearY!$D$20="Year 2"), EN_PF_YearY!L51&lt;&gt;"",  OR($D$20="Year 3", $J$14 =3)))), _xlfn.CONCAT("Validated old score = ",EN_PF_YearY!L51,"               Validated new score = ",L51),AND(L51&lt;&gt;"",$D$14="Yes",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",EN_PF_QualitativeBaseline!$I$29,"               Validated new score = ",L51), AND(OR($D$14="No", $D$14="", EN_PF_QualitativeBaseline!$I$29=""),OR($D$20="Year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51" s="74"/>
      <c r="M51" s="55"/>
      <c r="N51" s="17"/>
      <c r="O51" s="17"/>
    </row>
    <row r="52" spans="1:15" ht="110.1" customHeight="1" x14ac:dyDescent="0.2">
      <c r="A52" s="17"/>
      <c r="B52" s="430"/>
      <c r="C52" s="408"/>
      <c r="D52" s="341" t="s">
        <v>660</v>
      </c>
      <c r="E52" s="341"/>
      <c r="F52" s="341"/>
      <c r="G52" s="80"/>
      <c r="H52" s="73" t="str" cm="1">
        <f t="array" ref="H52">_xlfn.IFS(G52=EN_PF_DROPDOWN!O26,"3",G52=EN_PF_DROPDOWN!O27,"2",G52=EN_PF_DROPDOWN!O28,"1",G52=EN_PF_DROPDOWN!O29,"0",G52="","")</f>
        <v/>
      </c>
      <c r="I52" s="55"/>
      <c r="J52" s="62" t="str" cm="1">
        <f t="array" ref="J52">_xlfn.IFS(G52=EN_PF_DROPDOWN!O26,EN_PF_DROPDOWN!Q26,G52=EN_PF_DROPDOWN!O27,EN_PF_DROPDOWN!Q27,G52=EN_PF_DROPDOWN!O28,EN_PF_DROPDOWN!Q28,G52=EN_PF_DROPDOWN!O29,EN_PF_DROPDOWN!Q29,G52="","")</f>
        <v/>
      </c>
      <c r="K52" s="78" t="str" cm="1">
        <f t="array" ref="K52">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OR(AND(H52="", L52=""), AND($D$20="",$J$14=""), AND(L52="", H52&lt;&gt;"",$D$14="Yes",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1",$J$14&lt;&gt;1),H52&lt;&gt;"", OR(AND(OR(EN_PF_Year3!$J$14= 1, EN_PF_Year3!$D$20="Year 1"), EN_PF_Year3!L52="",  OR($D$20="Year 2", $J$14 =2)), AND(OR(EN_PF_Year3!$J$14= 2, EN_PF_Year3!$D$20="Year 2"), EN_PF_Year3!L52="",  OR($D$20="Year 3", $J$14 =3)))), AND(OR($D$20&lt;&gt;"",$J$14&lt;&gt;""),AND($D$20&lt;&gt;"Year 1",$J$14&lt;&gt;1),L52="", H52&lt;&gt;"", OR(AND(OR(EN_PF_YearY!$J$14= 1, EN_PF_YearY!$D$20="Year 1"), EN_PF_YearY!L52="",  OR($D$20="Year 2", $J$14 =2)), AND(OR(EN_PF_YearY!$J$14= 2, EN_PF_YearY!$D$20="Year 2"), EN_PF_YearY!L52="",  OR($D$20="Year 3", $J$14 =3)))))), "", AND(L52="", H52&lt;&gt;"",$D$14="Yes",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",EN_PF_QualitativeBaseline!$I$29,"     Preliminary score = ",H52), AND(OR($D$20&lt;&gt;"",$J$14&lt;&gt;""),AND($D$20&lt;&gt;"Year 1",$J$14&lt;&gt;1),L52="", H52&lt;&gt;"", OR(AND(OR(EN_PF_Year3!$J$14= 1, EN_PF_Year3!$D$20="Year 1"), EN_PF_Year3!L52&lt;&gt;"",  OR($D$20="Year 2", $J$14 =2)), AND(OR(EN_PF_Year3!$J$14= 2, EN_PF_Year3!$D$20="Year 2"), EN_PF_Year3!L52&lt;&gt;"",  OR($D$20="Year 3", $J$14 =3)))), _xlfn.CONCAT("Validated old score = ",EN_PF_Year3!L52,"          Preliminary score = ",H52), AND(OR($D$20&lt;&gt;"",$J$14&lt;&gt;""),AND($D$20&lt;&gt;"Year 1",$J$14&lt;&gt;1),L52="", H52&lt;&gt;"", OR(AND(OR(EN_PF_YearY!$J$14= 1, EN_PF_YearY!$D$20="Year 1"), EN_PF_YearY!L52&lt;&gt;"",  OR($D$20="Year 2", $J$14 =2)), AND(OR(EN_PF_YearY!$J$14= 2, EN_PF_YearY!$D$20="Year 2"), EN_PF_YearY!L52&lt;&gt;"",  OR($D$20="Year 3", $J$14 =3)))), _xlfn.CONCAT("Validated old score = ",EN_PF_YearY!L52,"          Preliminary score = ",H52), AND(OR($D$20&lt;&gt;"",$J$14&lt;&gt;""),AND($D$20&lt;&gt;"Year 1",$J$14&lt;&gt;1),L52&lt;&gt;"", OR(AND(OR(EN_PF_Year3!$J$14= 1, EN_PF_Year3!$D$20="Year 1"), EN_PF_Year3!L52&lt;&gt;"",  OR($D$20="Year 2", $J$14 =2)), AND(OR(EN_PF_Year3!$J$14= 2, EN_PF_Year3!$D$20="Year 2"), EN_PF_Year3!L52&lt;&gt;"",  OR($D$20="Year 3", $J$14 =3)))), _xlfn.CONCAT("Validated old score = ",EN_PF_Year3!L52,"               Validated new score = ",L52), AND(OR($D$20&lt;&gt;"",$J$14&lt;&gt;""),AND($D$20&lt;&gt;"Year 1",$J$14&lt;&gt;1),L52="", H52&lt;&gt;"", OR(AND(OR(EN_PF_YearY!$J$14= 1, EN_PF_YearY!$D$20="Year 1"), EN_PF_YearY!L52&lt;&gt;"",  OR($D$20="Year 2", $J$14 =2)), AND(OR(EN_PF_YearY!$J$14= 2, EN_PF_YearY!$D$20="Year 2"), EN_PF_YearY!L52&lt;&gt;"",  OR($D$20="Year 3", $J$14 =3)))), _xlfn.CONCAT("Validated old score = ",EN_PF_YearY!L52,"               Validated new score = ",L52),AND(L52&lt;&gt;"",$D$14="Yes",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",EN_PF_QualitativeBaseline!$I$29,"               Validated new score = ",L52), AND(OR($D$14="No", $D$14="", EN_PF_QualitativeBaseline!$I$29=""),OR($D$20="Year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52" s="74"/>
      <c r="M52" s="55"/>
      <c r="N52" s="17"/>
      <c r="O52" s="17"/>
    </row>
    <row r="53" spans="1:15" ht="110.1" customHeight="1" x14ac:dyDescent="0.2">
      <c r="A53" s="17"/>
      <c r="B53" s="430"/>
      <c r="C53" s="409"/>
      <c r="D53" s="341" t="s">
        <v>659</v>
      </c>
      <c r="E53" s="341"/>
      <c r="F53" s="341"/>
      <c r="G53" s="80"/>
      <c r="H53" s="73" t="str" cm="1">
        <f t="array" ref="H53">_xlfn.IFS(G53=EN_PF_DROPDOWN!O32,"3",G53=EN_PF_DROPDOWN!O33,"2",G53=EN_PF_DROPDOWN!O34,"1",G53=EN_PF_DROPDOWN!O35,"0",G53="","")</f>
        <v/>
      </c>
      <c r="I53" s="55"/>
      <c r="J53" s="62" t="str" cm="1">
        <f t="array" ref="J53">_xlfn.IFS(G53=EN_PF_DROPDOWN!O32,EN_PF_DROPDOWN!Q32,G53=EN_PF_DROPDOWN!O33,EN_PF_DROPDOWN!Q33,G53=EN_PF_DROPDOWN!O34,EN_PF_DROPDOWN!Q34,G53=EN_PF_DROPDOWN!O35,EN_PF_DROPDOWN!Q35,G53="","")</f>
        <v/>
      </c>
      <c r="K53" s="78" t="str" cm="1">
        <f t="array" ref="K53">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OR(AND(H53="", L53=""), AND($D$20="",$J$14=""), AND(L53="", H53&lt;&gt;"",$D$14="Yes",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1",$J$14&lt;&gt;1),H53&lt;&gt;"", OR(AND(OR(EN_PF_Year3!$J$14= 1, EN_PF_Year3!$D$20="Year 1"), EN_PF_Year3!L53="",  OR($D$20="Year 2", $J$14 =2)), AND(OR(EN_PF_Year3!$J$14= 2, EN_PF_Year3!$D$20="Year 2"), EN_PF_Year3!L53="",  OR($D$20="Year 3", $J$14 =3)))), AND(OR($D$20&lt;&gt;"",$J$14&lt;&gt;""),AND($D$20&lt;&gt;"Year 1",$J$14&lt;&gt;1),L53="", H53&lt;&gt;"", OR(AND(OR(EN_PF_YearY!$J$14= 1, EN_PF_YearY!$D$20="Year 1"), EN_PF_YearY!L53="",  OR($D$20="Year 2", $J$14 =2)), AND(OR(EN_PF_YearY!$J$14= 2, EN_PF_YearY!$D$20="Year 2"), EN_PF_YearY!L53="",  OR($D$20="Year 3", $J$14 =3)))))), "", AND(L53="", H53&lt;&gt;"",$D$14="Yes",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",EN_PF_QualitativeBaseline!$I$29,"     Preliminary score = ",H53), AND(OR($D$20&lt;&gt;"",$J$14&lt;&gt;""),AND($D$20&lt;&gt;"Year 1",$J$14&lt;&gt;1),L53="", H53&lt;&gt;"", OR(AND(OR(EN_PF_Year3!$J$14= 1, EN_PF_Year3!$D$20="Year 1"), EN_PF_Year3!L53&lt;&gt;"",  OR($D$20="Year 2", $J$14 =2)), AND(OR(EN_PF_Year3!$J$14= 2, EN_PF_Year3!$D$20="Year 2"), EN_PF_Year3!L53&lt;&gt;"",  OR($D$20="Year 3", $J$14 =3)))), _xlfn.CONCAT("Validated old score = ",EN_PF_Year3!L53,"          Preliminary score = ",H53), AND(OR($D$20&lt;&gt;"",$J$14&lt;&gt;""),AND($D$20&lt;&gt;"Year 1",$J$14&lt;&gt;1),L53="", H53&lt;&gt;"", OR(AND(OR(EN_PF_YearY!$J$14= 1, EN_PF_YearY!$D$20="Year 1"), EN_PF_YearY!L53&lt;&gt;"",  OR($D$20="Year 2", $J$14 =2)), AND(OR(EN_PF_YearY!$J$14= 2, EN_PF_YearY!$D$20="Year 2"), EN_PF_YearY!L53&lt;&gt;"",  OR($D$20="Year 3", $J$14 =3)))), _xlfn.CONCAT("Validated old score = ",EN_PF_YearY!L53,"          Preliminary score = ",H53), AND(OR($D$20&lt;&gt;"",$J$14&lt;&gt;""),AND($D$20&lt;&gt;"Year 1",$J$14&lt;&gt;1),L53&lt;&gt;"", OR(AND(OR(EN_PF_Year3!$J$14= 1, EN_PF_Year3!$D$20="Year 1"), EN_PF_Year3!L53&lt;&gt;"",  OR($D$20="Year 2", $J$14 =2)), AND(OR(EN_PF_Year3!$J$14= 2, EN_PF_Year3!$D$20="Year 2"), EN_PF_Year3!L53&lt;&gt;"",  OR($D$20="Year 3", $J$14 =3)))), _xlfn.CONCAT("Validated old score = ",EN_PF_Year3!L53,"               Validated new score = ",L53), AND(OR($D$20&lt;&gt;"",$J$14&lt;&gt;""),AND($D$20&lt;&gt;"Year 1",$J$14&lt;&gt;1),L53="", H53&lt;&gt;"", OR(AND(OR(EN_PF_YearY!$J$14= 1, EN_PF_YearY!$D$20="Year 1"), EN_PF_YearY!L53&lt;&gt;"",  OR($D$20="Year 2", $J$14 =2)), AND(OR(EN_PF_YearY!$J$14= 2, EN_PF_YearY!$D$20="Year 2"), EN_PF_YearY!L53&lt;&gt;"",  OR($D$20="Year 3", $J$14 =3)))), _xlfn.CONCAT("Validated old score = ",EN_PF_YearY!L53,"               Validated new score = ",L53),AND(L53&lt;&gt;"",$D$14="Yes",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",EN_PF_QualitativeBaseline!$I$29,"               Validated new score = ",L53), AND(OR($D$14="No", $D$14="", EN_PF_QualitativeBaseline!$I$29=""),OR($D$20="Year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53" s="74"/>
      <c r="M53" s="55"/>
      <c r="N53" s="17"/>
      <c r="O53" s="17"/>
    </row>
    <row r="54" spans="1:15" ht="110.1" customHeight="1" x14ac:dyDescent="0.2">
      <c r="A54" s="17"/>
      <c r="B54" s="430"/>
      <c r="C54" s="341" t="s">
        <v>187</v>
      </c>
      <c r="D54" s="341" t="s">
        <v>656</v>
      </c>
      <c r="E54" s="341"/>
      <c r="F54" s="341"/>
      <c r="G54" s="80"/>
      <c r="H54" s="73" t="str" cm="1">
        <f t="array" ref="H54">_xlfn.IFS(G54=EN_PF_DROPDOWN!O38,"3",G54=EN_PF_DROPDOWN!O39,"1",G54=EN_PF_DROPDOWN!O40,"0",G54="","")</f>
        <v/>
      </c>
      <c r="I54" s="55"/>
      <c r="J54" s="62" t="str" cm="1">
        <f t="array" ref="J54">_xlfn.IFS(G54=EN_PF_DROPDOWN!O38,EN_PF_DROPDOWN!Q38,G54=EN_PF_DROPDOWN!O39,EN_PF_DROPDOWN!Q39,G54=EN_PF_DROPDOWN!O40,EN_PF_DROPDOWN!Q40,G54="","")</f>
        <v/>
      </c>
      <c r="K54" s="78" t="str" cm="1">
        <f t="array" ref="K54">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OR(AND(H54="", L54=""), AND($D$20="",$J$14=""), AND(L54="", H54&lt;&gt;"",$D$14="Yes",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1",$J$14&lt;&gt;1),H54&lt;&gt;"", OR(AND(OR(EN_PF_Year3!$J$14= 1, EN_PF_Year3!$D$20="Year 1"), EN_PF_Year3!L54="",  OR($D$20="Year 2", $J$14 =2)), AND(OR(EN_PF_Year3!$J$14= 2, EN_PF_Year3!$D$20="Year 2"), EN_PF_Year3!L54="",  OR($D$20="Year 3", $J$14 =3)))), AND(OR($D$20&lt;&gt;"",$J$14&lt;&gt;""),AND($D$20&lt;&gt;"Year 1",$J$14&lt;&gt;1),L54="", H54&lt;&gt;"", OR(AND(OR(EN_PF_YearY!$J$14= 1, EN_PF_YearY!$D$20="Year 1"), EN_PF_YearY!L54="",  OR($D$20="Year 2", $J$14 =2)), AND(OR(EN_PF_YearY!$J$14= 2, EN_PF_YearY!$D$20="Year 2"), EN_PF_YearY!L54="",  OR($D$20="Year 3", $J$14 =3)))))), "", AND(L54="", H54&lt;&gt;"",$D$14="Yes",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",EN_PF_QualitativeBaseline!$I$30,"     Preliminary score = ",H54), AND(OR($D$20&lt;&gt;"",$J$14&lt;&gt;""),AND($D$20&lt;&gt;"Year 1",$J$14&lt;&gt;1),L54="", H54&lt;&gt;"", OR(AND(OR(EN_PF_Year3!$J$14= 1, EN_PF_Year3!$D$20="Year 1"), EN_PF_Year3!L54&lt;&gt;"",  OR($D$20="Year 2", $J$14 =2)), AND(OR(EN_PF_Year3!$J$14= 2, EN_PF_Year3!$D$20="Year 2"), EN_PF_Year3!L54&lt;&gt;"",  OR($D$20="Year 3", $J$14 =3)))), _xlfn.CONCAT("Validated old score = ",EN_PF_Year3!L54,"          Preliminary score = ",H54), AND(OR($D$20&lt;&gt;"",$J$14&lt;&gt;""),AND($D$20&lt;&gt;"Year 1",$J$14&lt;&gt;1),L54="", H54&lt;&gt;"", OR(AND(OR(EN_PF_YearY!$J$14= 1, EN_PF_YearY!$D$20="Year 1"), EN_PF_YearY!L54&lt;&gt;"",  OR($D$20="Year 2", $J$14 =2)), AND(OR(EN_PF_YearY!$J$14= 2, EN_PF_YearY!$D$20="Year 2"), EN_PF_YearY!L54&lt;&gt;"",  OR($D$20="Year 3", $J$14 =3)))), _xlfn.CONCAT("Validated old score = ",EN_PF_YearY!L54,"          Preliminary score = ",H54), AND(OR($D$20&lt;&gt;"",$J$14&lt;&gt;""),AND($D$20&lt;&gt;"Year 1",$J$14&lt;&gt;1),L54&lt;&gt;"", OR(AND(OR(EN_PF_Year3!$J$14= 1, EN_PF_Year3!$D$20="Year 1"), EN_PF_Year3!L54&lt;&gt;"",  OR($D$20="Year 2", $J$14 =2)), AND(OR(EN_PF_Year3!$J$14= 2, EN_PF_Year3!$D$20="Year 2"), EN_PF_Year3!L54&lt;&gt;"",  OR($D$20="Year 3", $J$14 =3)))), _xlfn.CONCAT("Validated old score = ",EN_PF_Year3!L54,"               Validated new score = ",L54), AND(OR($D$20&lt;&gt;"",$J$14&lt;&gt;""),AND($D$20&lt;&gt;"Year 1",$J$14&lt;&gt;1),L54="", H54&lt;&gt;"", OR(AND(OR(EN_PF_YearY!$J$14= 1, EN_PF_YearY!$D$20="Year 1"), EN_PF_YearY!L54&lt;&gt;"",  OR($D$20="Year 2", $J$14 =2)), AND(OR(EN_PF_YearY!$J$14= 2, EN_PF_YearY!$D$20="Year 2"), EN_PF_YearY!L54&lt;&gt;"",  OR($D$20="Year 3", $J$14 =3)))), _xlfn.CONCAT("Validated old score = ",EN_PF_YearY!L54,"               Validated new score = ",L54),AND(L54&lt;&gt;"",$D$14="Yes",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",EN_PF_QualitativeBaseline!$I$30,"               Validated new score = ",L54), AND(OR($D$14="No", $D$14="", EN_PF_QualitativeBaseline!$I$30=""),OR($D$20="Year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54" s="74"/>
      <c r="M54" s="55"/>
      <c r="N54" s="17"/>
      <c r="O54" s="17"/>
    </row>
    <row r="55" spans="1:15" ht="110.1" customHeight="1" x14ac:dyDescent="0.2">
      <c r="A55" s="17"/>
      <c r="B55" s="430"/>
      <c r="C55" s="410"/>
      <c r="D55" s="341" t="s">
        <v>655</v>
      </c>
      <c r="E55" s="341"/>
      <c r="F55" s="341"/>
      <c r="G55" s="80"/>
      <c r="H55" s="73" t="str" cm="1">
        <f t="array" ref="H55">_xlfn.IFS(G55=EN_PF_DROPDOWN!O43,"3",G55=EN_PF_DROPDOWN!O44,"1",G55=EN_PF_DROPDOWN!O45,"0",G55="","")</f>
        <v/>
      </c>
      <c r="I55" s="55"/>
      <c r="J55" s="62" t="str" cm="1">
        <f t="array" ref="J55">_xlfn.IFS(G55=EN_PF_DROPDOWN!O43,EN_PF_DROPDOWN!Q43,G55=EN_PF_DROPDOWN!O44,EN_PF_DROPDOWN!Q44,G55=EN_PF_DROPDOWN!O45,EN_PF_DROPDOWN!Q45,G55="","")</f>
        <v/>
      </c>
      <c r="K55" s="78" t="str" cm="1">
        <f t="array" ref="K55">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OR(AND(H55="", L55=""), AND($D$20="",$J$14=""), AND(L55="", H55&lt;&gt;"",$D$14="Yes",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1",$J$14&lt;&gt;1),H55&lt;&gt;"", OR(AND(OR(EN_PF_Year3!$J$14= 1, EN_PF_Year3!$D$20="Year 1"), EN_PF_Year3!L55="",  OR($D$20="Year 2", $J$14 =2)), AND(OR(EN_PF_Year3!$J$14= 2, EN_PF_Year3!$D$20="Year 2"), EN_PF_Year3!L55="",  OR($D$20="Year 3", $J$14 =3)))), AND(OR($D$20&lt;&gt;"",$J$14&lt;&gt;""),AND($D$20&lt;&gt;"Year 1",$J$14&lt;&gt;1),L55="", H55&lt;&gt;"", OR(AND(OR(EN_PF_YearY!$J$14= 1, EN_PF_YearY!$D$20="Year 1"), EN_PF_YearY!L55="",  OR($D$20="Year 2", $J$14 =2)), AND(OR(EN_PF_YearY!$J$14= 2, EN_PF_YearY!$D$20="Year 2"), EN_PF_YearY!L55="",  OR($D$20="Year 3", $J$14 =3)))))), "", AND(L55="", H55&lt;&gt;"",$D$14="Yes",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",EN_PF_QualitativeBaseline!$I$30,"     Preliminary score = ",H55), AND(OR($D$20&lt;&gt;"",$J$14&lt;&gt;""),AND($D$20&lt;&gt;"Year 1",$J$14&lt;&gt;1),L55="", H55&lt;&gt;"", OR(AND(OR(EN_PF_Year3!$J$14= 1, EN_PF_Year3!$D$20="Year 1"), EN_PF_Year3!L55&lt;&gt;"",  OR($D$20="Year 2", $J$14 =2)), AND(OR(EN_PF_Year3!$J$14= 2, EN_PF_Year3!$D$20="Year 2"), EN_PF_Year3!L55&lt;&gt;"",  OR($D$20="Year 3", $J$14 =3)))), _xlfn.CONCAT("Validated old score = ",EN_PF_Year3!L55,"          Preliminary score = ",H55), AND(OR($D$20&lt;&gt;"",$J$14&lt;&gt;""),AND($D$20&lt;&gt;"Year 1",$J$14&lt;&gt;1),L55="", H55&lt;&gt;"", OR(AND(OR(EN_PF_YearY!$J$14= 1, EN_PF_YearY!$D$20="Year 1"), EN_PF_YearY!L55&lt;&gt;"",  OR($D$20="Year 2", $J$14 =2)), AND(OR(EN_PF_YearY!$J$14= 2, EN_PF_YearY!$D$20="Year 2"), EN_PF_YearY!L55&lt;&gt;"",  OR($D$20="Year 3", $J$14 =3)))), _xlfn.CONCAT("Validated old score = ",EN_PF_YearY!L55,"          Preliminary score = ",H55), AND(OR($D$20&lt;&gt;"",$J$14&lt;&gt;""),AND($D$20&lt;&gt;"Year 1",$J$14&lt;&gt;1),L55&lt;&gt;"", OR(AND(OR(EN_PF_Year3!$J$14= 1, EN_PF_Year3!$D$20="Year 1"), EN_PF_Year3!L55&lt;&gt;"",  OR($D$20="Year 2", $J$14 =2)), AND(OR(EN_PF_Year3!$J$14= 2, EN_PF_Year3!$D$20="Year 2"), EN_PF_Year3!L55&lt;&gt;"",  OR($D$20="Year 3", $J$14 =3)))), _xlfn.CONCAT("Validated old score = ",EN_PF_Year3!L55,"               Validated new score = ",L55), AND(OR($D$20&lt;&gt;"",$J$14&lt;&gt;""),AND($D$20&lt;&gt;"Year 1",$J$14&lt;&gt;1),L55="", H55&lt;&gt;"", OR(AND(OR(EN_PF_YearY!$J$14= 1, EN_PF_YearY!$D$20="Year 1"), EN_PF_YearY!L55&lt;&gt;"",  OR($D$20="Year 2", $J$14 =2)), AND(OR(EN_PF_YearY!$J$14= 2, EN_PF_YearY!$D$20="Year 2"), EN_PF_YearY!L55&lt;&gt;"",  OR($D$20="Year 3", $J$14 =3)))), _xlfn.CONCAT("Validated old score = ",EN_PF_YearY!L55,"               Validated new score = ",L55),AND(L55&lt;&gt;"",$D$14="Yes",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",EN_PF_QualitativeBaseline!$I$30,"               Validated new score = ",L55), AND(OR($D$14="No", $D$14="", EN_PF_QualitativeBaseline!$I$30=""),OR($D$20="Year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55" s="74"/>
      <c r="M55" s="55"/>
      <c r="N55" s="17"/>
      <c r="O55" s="17"/>
    </row>
    <row r="56" spans="1:15" ht="110.1" customHeight="1" x14ac:dyDescent="0.2">
      <c r="A56" s="17"/>
      <c r="B56" s="430"/>
      <c r="C56" s="47" t="s">
        <v>188</v>
      </c>
      <c r="D56" s="341" t="s">
        <v>657</v>
      </c>
      <c r="E56" s="341"/>
      <c r="F56" s="341"/>
      <c r="G56" s="80"/>
      <c r="H56" s="73" t="str" cm="1">
        <f t="array" ref="H56">_xlfn.IFS(G56=EN_PF_DROPDOWN!O48,"2",G56=EN_PF_DROPDOWN!O49,"1",G56=EN_PF_DROPDOWN!O50,"0",G56="","")</f>
        <v/>
      </c>
      <c r="I56" s="55"/>
      <c r="J56" s="62" t="str" cm="1">
        <f t="array" ref="J56">_xlfn.IFS(G56=EN_PF_DROPDOWN!O48,EN_PF_DROPDOWN!Q48,G56=EN_PF_DROPDOWN!O49,EN_PF_DROPDOWN!Q49,G56=EN_PF_DROPDOWN!O50,EN_PF_DROPDOWN!Q50,G56="","")</f>
        <v/>
      </c>
      <c r="K56" s="78" t="str" cm="1">
        <f t="array" ref="K56">_xlfn.IFS(OR(OR(AND($D20&lt;&gt;"", EN_PF_Year3!$D$20&lt;&gt;"", $D$20=EN_PF_Year3!$D$20), AND($D$20&lt;&gt;"",  EN_PF_YearY!$D$20&lt;&gt;"", $D$20=EN_PF_YearY!$D$20), AND(EN_PF_Year3!$D$20&lt;&gt;"", EN_PF_YearY!$D$20&lt;&gt;"", EN_PF_Year3!$D$2=EN_PF_YearY!$D$20), AND($J$14&lt;&gt;"", EN_PF_Year3!$J$14&lt;&gt;"",  $J$14=EN_PF_Year3!$J$14), AND($J$14&lt;&gt;"", EN_PF_YearY!$J$14&lt;&gt;"", $J$14=EN_PF_YearY!$J$14), AND(EN_PF_Year3!$J$14&lt;&gt;"", EN_PF_YearY!$J$14&lt;&gt;"", EN_PF_Year3!$J$14=EN_PF_YearY!$J$14)), AND(OR($D$20="Year 3",$J$14=3), EN_PF_Year3!$D$20&lt;&gt;"Year 2", EN_PF_Year3!$J$14&lt;&gt;2, EN_PF_YearY!$D$20&lt;&gt;"Year 2", EN_PF_YearY!$J$14&lt;&gt;2, OR(EN_PF_Year3!$D$20="Year 1", EN_PF_Year3!$J$14=1, EN_PF_YearY!$D$20="Year 1", EN_PF_YearY!$J$14=1)), OR(AND(H56="", L56=""), AND($D$20="",$J$14=""), AND(L56="", H56&lt;&gt;"",$D$14="Yes",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EN_PF_QualitativeBaseline!I16=""), AND(OR($D$20&lt;&gt;"",$J$14&lt;&gt;""),AND($D$20&lt;&gt;"Year 1",$J$14&lt;&gt;1),H56&lt;&gt;"", OR(AND(OR(EN_PF_Year3!$J$14= 1, EN_PF_Year3!$D$20="Year 1"), EN_PF_Year3!L56="",  OR($D$20="Year 2", $J$14 =2)), AND(OR(EN_PF_Year3!$J$14= 2, EN_PF_Year3!$D$20="Year 2"), EN_PF_Year3!L56="",  OR($D$20="Year 3", $J$14 =3)))), AND(OR($D$20&lt;&gt;"",$J$14&lt;&gt;""),AND($D$20&lt;&gt;"Year 1",$J$14&lt;&gt;1),L56="", H56&lt;&gt;"", OR(AND(OR(EN_PF_YearY!$J$14= 1, EN_PF_YearY!$D$20="Year 1"), EN_PF_YearY!L56="",  OR($D$20="Year 2", $J$14 =2)), AND(OR(EN_PF_YearY!$J$14= 2, EN_PF_YearY!$D$20="Year 2"), EN_PF_YearY!L56="",  OR($D$20="Year 3", $J$14 =3)))))), "", AND(L56="", H56&lt;&gt;"",$D$14="Yes",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",EN_PF_QualitativeBaseline!$I$31,"     Preliminary score = ",H56), AND(OR($D$20&lt;&gt;"",$J$14&lt;&gt;""),AND($D$20&lt;&gt;"Year 1",$J$14&lt;&gt;1),L56="", H56&lt;&gt;"", OR(AND(OR(EN_PF_Year3!$J$14= 1, EN_PF_Year3!$D$20="Year 1"), EN_PF_Year3!L56&lt;&gt;"",  OR($D$20="Year 2", $J$14 =2)), AND(OR(EN_PF_Year3!$J$14= 2, EN_PF_Year3!$D$20="Year 2"), EN_PF_Year3!L56&lt;&gt;"",  OR($D$20="Year 3", $J$14 =3)))), _xlfn.CONCAT("Validated old score = ",EN_PF_Year3!L56,"          Preliminary score = ",H56), AND(OR($D$20&lt;&gt;"",$J$14&lt;&gt;""),AND($D$20&lt;&gt;"Year 1",$J$14&lt;&gt;1),L56="", H56&lt;&gt;"", OR(AND(OR(EN_PF_YearY!$J$14= 1, EN_PF_YearY!$D$20="Year 1"), EN_PF_YearY!L56&lt;&gt;"",  OR($D$20="Year 2", $J$14 =2)), AND(OR(EN_PF_YearY!$J$14= 2, EN_PF_YearY!$D$20="Year 2"), EN_PF_YearY!L56&lt;&gt;"",  OR($D$20="Year 3", $J$14 =3)))), _xlfn.CONCAT("Validated old score = ",EN_PF_YearY!L56,"          Preliminary score = ",H56), AND(OR($D$20&lt;&gt;"",$J$14&lt;&gt;""),AND($D$20&lt;&gt;"Year 1",$J$14&lt;&gt;1),L56&lt;&gt;"", OR(AND(OR(EN_PF_Year3!$J$14= 1, EN_PF_Year3!$D$20="Year 1"), EN_PF_Year3!L56&lt;&gt;"",  OR($D$20="Year 2", $J$14 =2)), AND(OR(EN_PF_Year3!$J$14= 2, EN_PF_Year3!$D$20="Year 2"), EN_PF_Year3!L56&lt;&gt;"",  OR($D$20="Year 3", $J$14 =3)))), _xlfn.CONCAT("Validated old score = ",EN_PF_Year3!L56,"               Validated new score = ",L56), AND(OR($D$20&lt;&gt;"",$J$14&lt;&gt;""),AND($D$20&lt;&gt;"Year 1",$J$14&lt;&gt;1),L56="", H56&lt;&gt;"", OR(AND(OR(EN_PF_YearY!$J$14= 1, EN_PF_YearY!$D$20="Year 1"), EN_PF_YearY!L56&lt;&gt;"",  OR($D$20="Year 2", $J$14 =2)), AND(OR(EN_PF_YearY!$J$14= 2, EN_PF_YearY!$D$20="Year 2"), EN_PF_YearY!L56&lt;&gt;"",  OR($D$20="Year 3", $J$14 =3)))), _xlfn.CONCAT("Validated old score = ",EN_PF_YearY!L56,"               Validated new score = ",L56),AND(L56&lt;&gt;"",$D$14="Yes", OR($D$20="Year 1",$J$14=1, AND(OR($D$20="Year 2",$J$14=2), EN_PF_Year3!$D$20&lt;&gt;"Year 1", EN_PF_Year3!$D$20&lt;&gt;1, EN_PF_YearY!$D$20&lt;&gt;"Year 1", EN_PF_YearY!$D$20&lt;&gt;1),AND(OR($D$20="Year 3",$J$14=3), EN_PF_Year3!$D$20&lt;&gt;"Year 1", EN_PF_Year3!$D$20&lt;&gt;1, EN_PF_YearY!$D$20&lt;&gt;"Year 1", EN_PF_YearY!$D$20&lt;&gt;1, EN_PF_Year3!$D$20&lt;&gt;"Year 2", EN_PF_Year3!$D$20&lt;&gt;2, EN_PF_YearY!$D$20&lt;&gt;"Year 2", EN_PF_YearY!$D$20&lt;&gt;2))), _xlfn.CONCAT("Baseline objective = ",EN_PF_QualitativeBaseline!$I$31,"               Validated new score = ",L56), AND(OR($D$14="No", $D$14="", EN_PF_QualitativeBaseline!$I$31=""),OR($D$20="Year 1",$J$14=1,AND(OR($D$20="Year 2",$J$14=2),EN_PF_Year3!$D$20&lt;&gt;"Year 1",EN_PF_Year3!$D$20&lt;&gt;1,EN_PF_YearY!$D$20&lt;&gt;"Year 1",EN_PF_YearY!$D$20&lt;&gt;1),AND(OR($D$20="Year 3",$J$14=3),EN_PF_Year3!$D$20&lt;&gt;"Year 1",EN_PF_Year3!$D$20&lt;&gt;1,EN_PF_YearY!$D$20&lt;&gt;"Year 1",EN_PF_YearY!$D$20&lt;&gt;1,EN_PF_Year3!$D$20&lt;&gt;"Year 2",EN_PF_Year3!$D$20&lt;&gt;2,EN_PF_YearY!$D$20&lt;&gt;"Year 2",EN_PF_YearY!$D$20&lt;&gt;2))),"No Baseline available")</f>
        <v/>
      </c>
      <c r="L56" s="74"/>
      <c r="M56" s="55"/>
      <c r="N56" s="17"/>
      <c r="O56" s="17"/>
    </row>
    <row r="57" spans="1:15" x14ac:dyDescent="0.2">
      <c r="A57" s="17"/>
      <c r="B57" s="17"/>
      <c r="C57" s="17"/>
      <c r="D57" s="17"/>
      <c r="E57" s="17"/>
      <c r="F57" s="17"/>
      <c r="G57" s="17"/>
      <c r="H57" s="17"/>
      <c r="I57" s="17"/>
      <c r="J57" s="17"/>
      <c r="K57" s="17"/>
      <c r="L57" s="17"/>
      <c r="M57" s="17"/>
    </row>
    <row r="58" spans="1:15" x14ac:dyDescent="0.2">
      <c r="A58" s="17"/>
      <c r="B58" s="17"/>
      <c r="C58" s="17"/>
      <c r="D58" s="17"/>
      <c r="E58" s="17"/>
      <c r="F58" s="17"/>
      <c r="G58" s="17"/>
      <c r="H58" s="17"/>
      <c r="I58" s="17"/>
      <c r="J58" s="17"/>
      <c r="K58" s="17"/>
      <c r="L58" s="17"/>
      <c r="M58" s="17"/>
    </row>
    <row r="59" spans="1:15" x14ac:dyDescent="0.2">
      <c r="A59" s="17"/>
      <c r="B59" s="17"/>
      <c r="C59" s="17"/>
      <c r="D59" s="17"/>
      <c r="E59" s="17"/>
      <c r="F59" s="17"/>
      <c r="G59" s="17"/>
      <c r="H59" s="17"/>
      <c r="I59" s="17"/>
      <c r="J59" s="17"/>
      <c r="K59" s="17"/>
      <c r="L59" s="17"/>
      <c r="M59" s="17"/>
    </row>
    <row r="60" spans="1:15" x14ac:dyDescent="0.2">
      <c r="A60" s="17"/>
      <c r="B60" s="17"/>
      <c r="C60" s="17"/>
      <c r="D60" s="17"/>
      <c r="E60" s="17"/>
      <c r="F60" s="17"/>
      <c r="G60" s="17"/>
      <c r="H60" s="17"/>
      <c r="I60" s="17"/>
      <c r="J60" s="17"/>
      <c r="K60" s="17"/>
      <c r="L60" s="17"/>
      <c r="M60" s="17"/>
    </row>
    <row r="61" spans="1:15" x14ac:dyDescent="0.2">
      <c r="A61" s="17"/>
      <c r="B61" s="17"/>
      <c r="C61" s="17"/>
      <c r="D61" s="17"/>
      <c r="E61" s="17"/>
      <c r="F61" s="17"/>
      <c r="G61" s="17"/>
      <c r="H61" s="17"/>
      <c r="I61" s="17"/>
      <c r="J61" s="17"/>
      <c r="K61" s="17"/>
      <c r="L61" s="17"/>
      <c r="M61" s="17"/>
    </row>
    <row r="62" spans="1:15" x14ac:dyDescent="0.2">
      <c r="A62" s="17"/>
      <c r="B62" s="17"/>
      <c r="C62" s="17"/>
      <c r="D62" s="17"/>
      <c r="E62" s="17"/>
      <c r="F62" s="17"/>
      <c r="G62" s="17"/>
      <c r="H62" s="17"/>
      <c r="I62" s="17"/>
      <c r="J62" s="17"/>
      <c r="K62" s="17"/>
      <c r="L62" s="17"/>
      <c r="M62" s="17"/>
    </row>
    <row r="63" spans="1:15" x14ac:dyDescent="0.2">
      <c r="A63" s="17"/>
      <c r="B63" s="17"/>
      <c r="C63" s="17"/>
      <c r="D63" s="17"/>
      <c r="E63" s="17"/>
      <c r="F63" s="17"/>
      <c r="G63" s="17"/>
      <c r="H63" s="17"/>
      <c r="I63" s="17"/>
      <c r="J63" s="17"/>
      <c r="K63" s="17"/>
      <c r="L63" s="17"/>
      <c r="M63" s="17"/>
    </row>
    <row r="64" spans="1:15" x14ac:dyDescent="0.2">
      <c r="A64" s="17"/>
      <c r="B64" s="17"/>
      <c r="C64" s="17"/>
      <c r="D64" s="17"/>
      <c r="E64" s="17"/>
      <c r="F64" s="17"/>
      <c r="G64" s="17"/>
      <c r="H64" s="17"/>
      <c r="I64" s="17"/>
      <c r="J64" s="17"/>
      <c r="K64" s="17"/>
      <c r="L64" s="17"/>
      <c r="M64" s="17"/>
    </row>
    <row r="65" spans="1:13" x14ac:dyDescent="0.2">
      <c r="A65" s="17"/>
      <c r="B65" s="17"/>
      <c r="C65" s="17"/>
      <c r="D65" s="17"/>
      <c r="E65" s="17"/>
      <c r="F65" s="17"/>
      <c r="G65" s="17"/>
      <c r="H65" s="17"/>
      <c r="I65" s="17"/>
      <c r="J65" s="17"/>
      <c r="K65" s="17"/>
      <c r="L65" s="17"/>
      <c r="M65" s="17"/>
    </row>
    <row r="66" spans="1:13" x14ac:dyDescent="0.2">
      <c r="A66" s="17"/>
      <c r="B66" s="17"/>
      <c r="C66" s="17"/>
      <c r="D66" s="17"/>
      <c r="E66" s="17"/>
      <c r="F66" s="17"/>
      <c r="G66" s="17"/>
      <c r="H66" s="17"/>
      <c r="I66" s="17"/>
      <c r="J66" s="17"/>
      <c r="K66" s="17"/>
      <c r="L66" s="17"/>
      <c r="M66" s="17"/>
    </row>
    <row r="67" spans="1:13" x14ac:dyDescent="0.2">
      <c r="A67" s="17"/>
      <c r="B67" s="17"/>
      <c r="C67" s="17"/>
      <c r="D67" s="17"/>
      <c r="E67" s="17"/>
      <c r="F67" s="17"/>
      <c r="G67" s="17"/>
      <c r="H67" s="17"/>
      <c r="I67" s="17"/>
      <c r="J67" s="17"/>
      <c r="K67" s="17"/>
      <c r="L67" s="17"/>
      <c r="M67" s="17"/>
    </row>
    <row r="68" spans="1:13" x14ac:dyDescent="0.2">
      <c r="A68" s="17"/>
      <c r="B68" s="17"/>
      <c r="C68" s="17"/>
      <c r="D68" s="17"/>
      <c r="E68" s="17"/>
      <c r="F68" s="17"/>
      <c r="G68" s="17"/>
      <c r="H68" s="17"/>
      <c r="I68" s="17"/>
      <c r="J68" s="17"/>
      <c r="K68" s="17"/>
      <c r="L68" s="17"/>
      <c r="M68" s="17"/>
    </row>
    <row r="69" spans="1:13" x14ac:dyDescent="0.2">
      <c r="A69" s="17"/>
      <c r="B69" s="17"/>
      <c r="C69" s="17"/>
      <c r="D69" s="17"/>
      <c r="E69" s="17"/>
      <c r="F69" s="17"/>
      <c r="G69" s="17"/>
      <c r="H69" s="17"/>
      <c r="I69" s="17"/>
      <c r="J69" s="17"/>
      <c r="K69" s="17"/>
      <c r="L69" s="17"/>
      <c r="M69" s="17"/>
    </row>
    <row r="70" spans="1:13" x14ac:dyDescent="0.2">
      <c r="A70" s="17"/>
      <c r="B70" s="17"/>
      <c r="C70" s="17"/>
      <c r="D70" s="17"/>
      <c r="E70" s="17"/>
      <c r="F70" s="17"/>
      <c r="G70" s="17"/>
      <c r="H70" s="17"/>
      <c r="I70" s="17"/>
      <c r="J70" s="17"/>
      <c r="K70" s="17"/>
      <c r="L70" s="17"/>
      <c r="M70" s="17"/>
    </row>
    <row r="71" spans="1:13" x14ac:dyDescent="0.2">
      <c r="A71" s="17"/>
      <c r="B71" s="17"/>
      <c r="C71" s="17"/>
      <c r="D71" s="17"/>
      <c r="E71" s="17"/>
      <c r="F71" s="17"/>
      <c r="G71" s="17"/>
      <c r="H71" s="17"/>
      <c r="I71" s="17"/>
      <c r="J71" s="17"/>
      <c r="K71" s="17"/>
      <c r="L71" s="17"/>
      <c r="M71" s="17"/>
    </row>
    <row r="72" spans="1:13" x14ac:dyDescent="0.2">
      <c r="A72" s="17"/>
      <c r="B72" s="17"/>
      <c r="C72" s="17"/>
      <c r="D72" s="17"/>
      <c r="E72" s="17"/>
      <c r="F72" s="17"/>
      <c r="G72" s="17"/>
      <c r="H72" s="17"/>
      <c r="I72" s="17"/>
      <c r="J72" s="17"/>
      <c r="K72" s="17"/>
      <c r="L72" s="17"/>
      <c r="M72" s="17"/>
    </row>
    <row r="73" spans="1:13" x14ac:dyDescent="0.2">
      <c r="A73" s="17"/>
      <c r="B73" s="17"/>
      <c r="C73" s="17"/>
      <c r="D73" s="17"/>
      <c r="E73" s="17"/>
      <c r="F73" s="17"/>
      <c r="G73" s="17"/>
      <c r="H73" s="17"/>
      <c r="I73" s="17"/>
      <c r="J73" s="17"/>
      <c r="K73" s="17"/>
      <c r="L73" s="17"/>
      <c r="M73" s="17"/>
    </row>
    <row r="74" spans="1:13" x14ac:dyDescent="0.2">
      <c r="A74" s="17"/>
      <c r="B74" s="17"/>
      <c r="C74" s="17"/>
      <c r="D74" s="17"/>
      <c r="E74" s="17"/>
      <c r="F74" s="17"/>
      <c r="G74" s="17"/>
      <c r="H74" s="17"/>
      <c r="I74" s="17"/>
      <c r="J74" s="17"/>
      <c r="K74" s="17"/>
      <c r="L74" s="17"/>
      <c r="M74" s="17"/>
    </row>
    <row r="75" spans="1:13" x14ac:dyDescent="0.2">
      <c r="A75" s="17"/>
      <c r="B75" s="17"/>
      <c r="C75" s="17"/>
      <c r="D75" s="17"/>
      <c r="E75" s="17"/>
      <c r="F75" s="17"/>
      <c r="G75" s="17"/>
      <c r="H75" s="17"/>
      <c r="I75" s="17"/>
      <c r="J75" s="17"/>
      <c r="K75" s="17"/>
      <c r="L75" s="17"/>
      <c r="M75" s="17"/>
    </row>
    <row r="76" spans="1:13" x14ac:dyDescent="0.2">
      <c r="A76" s="17"/>
      <c r="B76" s="17"/>
      <c r="C76" s="17"/>
      <c r="D76" s="17"/>
      <c r="E76" s="17"/>
      <c r="F76" s="17"/>
      <c r="G76" s="17"/>
      <c r="H76" s="17"/>
      <c r="I76" s="17"/>
      <c r="J76" s="17"/>
      <c r="K76" s="17"/>
      <c r="L76" s="17"/>
      <c r="M76" s="17"/>
    </row>
    <row r="77" spans="1:13" x14ac:dyDescent="0.2">
      <c r="A77" s="17"/>
      <c r="B77" s="17"/>
      <c r="C77" s="17"/>
      <c r="D77" s="17"/>
      <c r="E77" s="17"/>
      <c r="F77" s="17"/>
      <c r="G77" s="17"/>
      <c r="H77" s="17"/>
      <c r="I77" s="17"/>
      <c r="J77" s="17"/>
      <c r="K77" s="17"/>
      <c r="L77" s="17"/>
      <c r="M77" s="17"/>
    </row>
    <row r="78" spans="1:13" x14ac:dyDescent="0.2">
      <c r="A78" s="17"/>
      <c r="B78" s="17"/>
      <c r="C78" s="17"/>
      <c r="D78" s="17"/>
      <c r="E78" s="17"/>
      <c r="F78" s="17"/>
      <c r="G78" s="17"/>
      <c r="H78" s="17"/>
      <c r="I78" s="17"/>
      <c r="J78" s="17"/>
      <c r="K78" s="17"/>
      <c r="L78" s="17"/>
      <c r="M78" s="17"/>
    </row>
    <row r="79" spans="1:13" x14ac:dyDescent="0.2">
      <c r="A79" s="17"/>
      <c r="B79" s="17"/>
      <c r="C79" s="17"/>
      <c r="D79" s="17"/>
      <c r="E79" s="17"/>
      <c r="F79" s="17"/>
      <c r="G79" s="17"/>
      <c r="H79" s="17"/>
      <c r="I79" s="17"/>
      <c r="J79" s="17"/>
      <c r="K79" s="17"/>
      <c r="L79" s="17"/>
      <c r="M79" s="17"/>
    </row>
    <row r="80" spans="1:13" x14ac:dyDescent="0.2">
      <c r="A80" s="17"/>
      <c r="B80" s="17"/>
      <c r="C80" s="17"/>
      <c r="D80" s="17"/>
      <c r="E80" s="17"/>
      <c r="F80" s="17"/>
      <c r="G80" s="17"/>
      <c r="H80" s="17"/>
      <c r="I80" s="17"/>
      <c r="J80" s="17"/>
      <c r="K80" s="17"/>
      <c r="L80" s="17"/>
      <c r="M80" s="17"/>
    </row>
    <row r="81" spans="1:13" x14ac:dyDescent="0.2">
      <c r="A81" s="17"/>
      <c r="B81" s="17"/>
      <c r="C81" s="17"/>
      <c r="D81" s="17"/>
      <c r="E81" s="17"/>
      <c r="F81" s="17"/>
      <c r="G81" s="17"/>
      <c r="H81" s="17"/>
      <c r="I81" s="17"/>
      <c r="J81" s="17"/>
      <c r="K81" s="17"/>
      <c r="L81" s="17"/>
      <c r="M81" s="17"/>
    </row>
    <row r="82" spans="1:13" x14ac:dyDescent="0.2">
      <c r="A82" s="17"/>
      <c r="B82" s="17"/>
      <c r="C82" s="17"/>
      <c r="D82" s="17"/>
      <c r="E82" s="17"/>
      <c r="F82" s="17"/>
      <c r="G82" s="17"/>
      <c r="H82" s="17"/>
      <c r="I82" s="17"/>
      <c r="J82" s="17"/>
      <c r="K82" s="17"/>
      <c r="L82" s="17"/>
      <c r="M82" s="17"/>
    </row>
    <row r="83" spans="1:13" x14ac:dyDescent="0.2">
      <c r="A83" s="17"/>
      <c r="B83" s="17"/>
      <c r="C83" s="17"/>
      <c r="D83" s="17"/>
      <c r="E83" s="17"/>
      <c r="F83" s="17"/>
      <c r="G83" s="17"/>
      <c r="H83" s="17"/>
      <c r="I83" s="17"/>
      <c r="J83" s="17"/>
      <c r="K83" s="17"/>
      <c r="L83" s="17"/>
      <c r="M83" s="17"/>
    </row>
    <row r="84" spans="1:13" x14ac:dyDescent="0.2">
      <c r="A84" s="17"/>
      <c r="B84" s="17"/>
      <c r="C84" s="17"/>
      <c r="D84" s="17"/>
      <c r="E84" s="17"/>
      <c r="F84" s="17"/>
      <c r="G84" s="17"/>
      <c r="H84" s="17"/>
      <c r="I84" s="17"/>
      <c r="J84" s="17"/>
      <c r="K84" s="17"/>
      <c r="L84" s="17"/>
      <c r="M84" s="17"/>
    </row>
    <row r="85" spans="1:13" x14ac:dyDescent="0.2">
      <c r="A85" s="17"/>
      <c r="B85" s="17"/>
      <c r="C85" s="17"/>
      <c r="D85" s="17"/>
      <c r="E85" s="17"/>
      <c r="F85" s="17"/>
      <c r="G85" s="17"/>
      <c r="H85" s="17"/>
      <c r="I85" s="17"/>
      <c r="J85" s="17"/>
      <c r="K85" s="17"/>
      <c r="L85" s="17"/>
      <c r="M85" s="17"/>
    </row>
    <row r="86" spans="1:13" x14ac:dyDescent="0.2">
      <c r="A86" s="17"/>
      <c r="B86" s="17"/>
      <c r="C86" s="17"/>
      <c r="D86" s="17"/>
      <c r="E86" s="17"/>
      <c r="F86" s="17"/>
      <c r="G86" s="17"/>
      <c r="H86" s="17"/>
      <c r="I86" s="17"/>
      <c r="J86" s="17"/>
      <c r="K86" s="17"/>
      <c r="L86" s="17"/>
      <c r="M86" s="17"/>
    </row>
    <row r="87" spans="1:13" x14ac:dyDescent="0.2">
      <c r="A87" s="17"/>
      <c r="B87" s="17"/>
      <c r="C87" s="17"/>
      <c r="D87" s="17"/>
      <c r="E87" s="17"/>
      <c r="F87" s="17"/>
      <c r="G87" s="17"/>
      <c r="H87" s="17"/>
      <c r="I87" s="17"/>
      <c r="J87" s="17"/>
      <c r="K87" s="17"/>
      <c r="L87" s="17"/>
      <c r="M87" s="17"/>
    </row>
    <row r="88" spans="1:13" x14ac:dyDescent="0.2">
      <c r="A88" s="17"/>
      <c r="B88" s="17"/>
      <c r="C88" s="17"/>
      <c r="D88" s="17"/>
      <c r="E88" s="17"/>
      <c r="F88" s="17"/>
      <c r="G88" s="17"/>
      <c r="H88" s="17"/>
      <c r="I88" s="17"/>
      <c r="J88" s="17"/>
      <c r="K88" s="17"/>
      <c r="L88" s="17"/>
      <c r="M88" s="17"/>
    </row>
    <row r="89" spans="1:13" x14ac:dyDescent="0.2">
      <c r="A89" s="17"/>
      <c r="B89" s="17"/>
      <c r="C89" s="17"/>
      <c r="D89" s="17"/>
      <c r="E89" s="17"/>
      <c r="F89" s="17"/>
      <c r="G89" s="17"/>
      <c r="H89" s="17"/>
      <c r="I89" s="17"/>
      <c r="J89" s="17"/>
      <c r="K89" s="17"/>
      <c r="L89" s="17"/>
      <c r="M89" s="17"/>
    </row>
    <row r="90" spans="1:13" x14ac:dyDescent="0.2">
      <c r="A90" s="17"/>
      <c r="B90" s="17"/>
      <c r="C90" s="17"/>
      <c r="D90" s="17"/>
      <c r="E90" s="17"/>
      <c r="F90" s="17"/>
      <c r="G90" s="17"/>
      <c r="H90" s="17"/>
      <c r="I90" s="17"/>
      <c r="J90" s="17"/>
      <c r="K90" s="17"/>
      <c r="L90" s="17"/>
      <c r="M90" s="17"/>
    </row>
    <row r="91" spans="1:13" x14ac:dyDescent="0.2">
      <c r="A91" s="17"/>
      <c r="B91" s="17"/>
      <c r="C91" s="17"/>
      <c r="D91" s="17"/>
      <c r="E91" s="17"/>
      <c r="F91" s="17"/>
      <c r="G91" s="17"/>
      <c r="H91" s="17"/>
      <c r="I91" s="17"/>
      <c r="J91" s="17"/>
      <c r="K91" s="17"/>
      <c r="L91" s="17"/>
      <c r="M91" s="17"/>
    </row>
    <row r="92" spans="1:13" x14ac:dyDescent="0.2">
      <c r="A92" s="17"/>
      <c r="B92" s="17"/>
      <c r="C92" s="17"/>
      <c r="D92" s="17"/>
      <c r="E92" s="17"/>
      <c r="F92" s="17"/>
      <c r="G92" s="17"/>
      <c r="H92" s="17"/>
      <c r="I92" s="17"/>
      <c r="J92" s="17"/>
      <c r="K92" s="17"/>
      <c r="L92" s="17"/>
      <c r="M92" s="17"/>
    </row>
    <row r="93" spans="1:13" x14ac:dyDescent="0.2">
      <c r="A93" s="17"/>
      <c r="B93" s="17"/>
      <c r="C93" s="17"/>
      <c r="D93" s="17"/>
      <c r="E93" s="17"/>
      <c r="F93" s="17"/>
      <c r="G93" s="17"/>
      <c r="H93" s="17"/>
      <c r="I93" s="17"/>
      <c r="J93" s="17"/>
      <c r="K93" s="17"/>
      <c r="L93" s="17"/>
      <c r="M93" s="17"/>
    </row>
    <row r="94" spans="1:13" x14ac:dyDescent="0.2">
      <c r="A94" s="17"/>
      <c r="B94" s="17"/>
      <c r="C94" s="17"/>
      <c r="D94" s="17"/>
      <c r="E94" s="17"/>
      <c r="F94" s="17"/>
      <c r="G94" s="17"/>
      <c r="H94" s="17"/>
      <c r="I94" s="17"/>
      <c r="J94" s="17"/>
      <c r="K94" s="17"/>
      <c r="L94" s="17"/>
      <c r="M94" s="17"/>
    </row>
    <row r="95" spans="1:13" x14ac:dyDescent="0.2">
      <c r="A95" s="17"/>
      <c r="B95" s="17"/>
      <c r="C95" s="17"/>
      <c r="D95" s="17"/>
      <c r="E95" s="17"/>
      <c r="F95" s="17"/>
      <c r="G95" s="17"/>
      <c r="H95" s="17"/>
      <c r="I95" s="17"/>
      <c r="J95" s="17"/>
      <c r="K95" s="17"/>
      <c r="L95" s="17"/>
      <c r="M95" s="17"/>
    </row>
    <row r="96" spans="1:13" x14ac:dyDescent="0.2">
      <c r="A96" s="17"/>
      <c r="B96" s="17"/>
      <c r="C96" s="17"/>
      <c r="D96" s="17"/>
      <c r="E96" s="17"/>
      <c r="F96" s="17"/>
      <c r="G96" s="17"/>
      <c r="H96" s="17"/>
      <c r="I96" s="17"/>
      <c r="J96" s="17"/>
      <c r="K96" s="17"/>
      <c r="L96" s="17"/>
      <c r="M96" s="17"/>
    </row>
    <row r="97" spans="1:13" x14ac:dyDescent="0.2">
      <c r="A97" s="17"/>
      <c r="B97" s="17"/>
      <c r="C97" s="17"/>
      <c r="D97" s="17"/>
      <c r="E97" s="17"/>
      <c r="F97" s="17"/>
      <c r="G97" s="17"/>
      <c r="H97" s="17"/>
      <c r="I97" s="17"/>
      <c r="J97" s="17"/>
      <c r="K97" s="17"/>
      <c r="L97" s="17"/>
      <c r="M97" s="17"/>
    </row>
    <row r="98" spans="1:13" x14ac:dyDescent="0.2">
      <c r="A98" s="17"/>
      <c r="B98" s="17"/>
      <c r="C98" s="17"/>
      <c r="D98" s="17"/>
      <c r="E98" s="17"/>
      <c r="F98" s="17"/>
      <c r="G98" s="17"/>
      <c r="H98" s="17"/>
      <c r="I98" s="17"/>
      <c r="J98" s="17"/>
      <c r="K98" s="17"/>
      <c r="L98" s="17"/>
      <c r="M98" s="17"/>
    </row>
    <row r="99" spans="1:13" x14ac:dyDescent="0.2">
      <c r="A99" s="17"/>
      <c r="B99" s="17"/>
      <c r="C99" s="17"/>
      <c r="D99" s="17"/>
      <c r="E99" s="17"/>
      <c r="F99" s="17"/>
      <c r="G99" s="17"/>
      <c r="H99" s="17"/>
      <c r="I99" s="17"/>
      <c r="J99" s="17"/>
      <c r="K99" s="17"/>
      <c r="L99" s="17"/>
      <c r="M99" s="17"/>
    </row>
    <row r="100" spans="1:13" x14ac:dyDescent="0.2">
      <c r="A100" s="17"/>
      <c r="B100" s="17"/>
      <c r="C100" s="17"/>
      <c r="D100" s="17"/>
      <c r="E100" s="17"/>
      <c r="F100" s="17"/>
      <c r="G100" s="17"/>
      <c r="H100" s="17"/>
      <c r="I100" s="17"/>
      <c r="J100" s="17"/>
      <c r="K100" s="17"/>
      <c r="L100" s="17"/>
      <c r="M100" s="17"/>
    </row>
  </sheetData>
  <sheetProtection algorithmName="SHA-512" hashValue="I6qj1HbD9/dWNkPTrxxrJXF77sAOqyajBa9hHXLiiQwvwF++sOjfDyW3gBmfOU3MRNrCejqasL/Jxjf1D5ImOg==" saltValue="fr4w6KIJ66iXg8FNEtxYpw==" spinCount="100000" sheet="1" objects="1" scenarios="1"/>
  <autoFilter ref="B25:M25" xr:uid="{8976E3EA-F2C0-4047-A79D-AA651247761D}">
    <filterColumn colId="2" showButton="0"/>
    <filterColumn colId="3" showButton="0"/>
  </autoFilter>
  <dataConsolidate/>
  <mergeCells count="63">
    <mergeCell ref="D54:F54"/>
    <mergeCell ref="D55:F55"/>
    <mergeCell ref="D56:F56"/>
    <mergeCell ref="B48:B56"/>
    <mergeCell ref="C48:C50"/>
    <mergeCell ref="D48:F48"/>
    <mergeCell ref="D49:F49"/>
    <mergeCell ref="D50:F50"/>
    <mergeCell ref="C51:C53"/>
    <mergeCell ref="D51:F51"/>
    <mergeCell ref="D52:F52"/>
    <mergeCell ref="D53:F53"/>
    <mergeCell ref="C54:C55"/>
    <mergeCell ref="D40:F40"/>
    <mergeCell ref="D41:F41"/>
    <mergeCell ref="D42:F42"/>
    <mergeCell ref="B43:B47"/>
    <mergeCell ref="C43:C44"/>
    <mergeCell ref="D43:F43"/>
    <mergeCell ref="D44:F44"/>
    <mergeCell ref="D45:F45"/>
    <mergeCell ref="D46:F46"/>
    <mergeCell ref="D47:F47"/>
    <mergeCell ref="D33:F33"/>
    <mergeCell ref="B34:B42"/>
    <mergeCell ref="C34:C38"/>
    <mergeCell ref="D34:F34"/>
    <mergeCell ref="D35:F35"/>
    <mergeCell ref="D36:F36"/>
    <mergeCell ref="D37:F37"/>
    <mergeCell ref="D38:F38"/>
    <mergeCell ref="C39:C40"/>
    <mergeCell ref="D39:F39"/>
    <mergeCell ref="B26:B33"/>
    <mergeCell ref="C26:C28"/>
    <mergeCell ref="D26:F26"/>
    <mergeCell ref="D27:F27"/>
    <mergeCell ref="D28:F28"/>
    <mergeCell ref="D29:F29"/>
    <mergeCell ref="C30:C32"/>
    <mergeCell ref="D30:F30"/>
    <mergeCell ref="D31:F31"/>
    <mergeCell ref="D32:F32"/>
    <mergeCell ref="B19:C19"/>
    <mergeCell ref="B20:C20"/>
    <mergeCell ref="A23:M23"/>
    <mergeCell ref="D25:F25"/>
    <mergeCell ref="B21:C21"/>
    <mergeCell ref="D22:F22"/>
    <mergeCell ref="B18:C18"/>
    <mergeCell ref="B4:G4"/>
    <mergeCell ref="B6:D6"/>
    <mergeCell ref="B7:C7"/>
    <mergeCell ref="F7:F9"/>
    <mergeCell ref="B8:C8"/>
    <mergeCell ref="B9:C9"/>
    <mergeCell ref="B13:C13"/>
    <mergeCell ref="B14:C14"/>
    <mergeCell ref="B15:C15"/>
    <mergeCell ref="B17:C17"/>
    <mergeCell ref="A11:M11"/>
    <mergeCell ref="H13:I13"/>
    <mergeCell ref="H14:I14"/>
  </mergeCells>
  <conditionalFormatting sqref="M25:M56">
    <cfRule type="expression" dxfId="205" priority="981">
      <formula>$F$7="Reviewer / Coordinating Mechanism"</formula>
    </cfRule>
    <cfRule type="expression" dxfId="204" priority="984">
      <formula>$F$7="Performance Framework"</formula>
    </cfRule>
  </conditionalFormatting>
  <conditionalFormatting sqref="G25:G29 G32:G56">
    <cfRule type="expression" dxfId="203" priority="1">
      <formula>$F$7="Performance Framework"</formula>
    </cfRule>
  </conditionalFormatting>
  <conditionalFormatting sqref="H25:J56">
    <cfRule type="expression" dxfId="202" priority="982">
      <formula>$F$7="Performance Framework"</formula>
    </cfRule>
  </conditionalFormatting>
  <conditionalFormatting sqref="J27">
    <cfRule type="expression" dxfId="201" priority="980">
      <formula>$F$7="Performance Framework"</formula>
    </cfRule>
  </conditionalFormatting>
  <conditionalFormatting sqref="G30">
    <cfRule type="expression" dxfId="200" priority="978">
      <formula>$F$7="Performance Framework"</formula>
    </cfRule>
  </conditionalFormatting>
  <conditionalFormatting sqref="G31">
    <cfRule type="expression" dxfId="199" priority="977">
      <formula>$F$7="Performance Framework"</formula>
    </cfRule>
  </conditionalFormatting>
  <conditionalFormatting sqref="H26:H56">
    <cfRule type="expression" dxfId="198" priority="928">
      <formula>$F$7="Performance Framework"</formula>
    </cfRule>
  </conditionalFormatting>
  <conditionalFormatting sqref="K25">
    <cfRule type="expression" dxfId="197" priority="423">
      <formula>$F$7="Performance Framework"</formula>
    </cfRule>
    <cfRule type="expression" dxfId="196" priority="424">
      <formula>$F$7="Reviewer / Coordinating Mechanism"</formula>
    </cfRule>
    <cfRule type="expression" dxfId="195" priority="425">
      <formula>$K$26=""</formula>
    </cfRule>
  </conditionalFormatting>
  <conditionalFormatting sqref="H13:J14">
    <cfRule type="expression" dxfId="194" priority="317">
      <formula>OR($D$15="",$D$15="Yes")</formula>
    </cfRule>
  </conditionalFormatting>
  <conditionalFormatting sqref="J13">
    <cfRule type="expression" dxfId="193" priority="322">
      <formula>AND(J13="", $G$20&lt;&gt;"", OR($D$15="", $D$15= "No"))</formula>
    </cfRule>
  </conditionalFormatting>
  <conditionalFormatting sqref="B21:D21 B17:C20">
    <cfRule type="expression" dxfId="192" priority="310">
      <formula>OR($D$15="",$D$15="No")</formula>
    </cfRule>
  </conditionalFormatting>
  <conditionalFormatting sqref="D21">
    <cfRule type="expression" dxfId="191" priority="311">
      <formula>AND($D$14="No",$D$15="Yes", $D$21="")</formula>
    </cfRule>
  </conditionalFormatting>
  <conditionalFormatting sqref="B21:D21">
    <cfRule type="expression" dxfId="190" priority="309">
      <formula>AND($D$14="Yes",$D$15="Yes")</formula>
    </cfRule>
  </conditionalFormatting>
  <conditionalFormatting sqref="D20">
    <cfRule type="expression" dxfId="189" priority="203">
      <formula>OR($D$15="",$D$15="No")</formula>
    </cfRule>
  </conditionalFormatting>
  <conditionalFormatting sqref="D14">
    <cfRule type="expression" dxfId="188" priority="202">
      <formula>OR(AND($D$14&lt;&gt;"",$D$14&lt;&gt;"",$D$14&lt;&gt;$D$14),AND($D$14&lt;&gt;"",$D$14&lt;&gt;"",$D$14&lt;&gt;$D$14),AND($D$14="",OR(SUMPRODUCT(--($G$26:G56&lt;&gt;""))=31,SUMPRODUCT(--($L$26:$L$56&lt;&gt;""))=31)))</formula>
    </cfRule>
  </conditionalFormatting>
  <conditionalFormatting sqref="D17:D19">
    <cfRule type="expression" dxfId="187" priority="198">
      <formula>OR($D$15="",$D$15="No")</formula>
    </cfRule>
  </conditionalFormatting>
  <conditionalFormatting sqref="D17">
    <cfRule type="expression" dxfId="186" priority="201">
      <formula>AND(OR(SUMPRODUCT(--($G$26:$G$56&lt;&gt;""))=31, SUMPRODUCT(--$L$26:$L$56&lt;&gt;""))=31, $D$17="", OR($D$15="", $D$15= "Yes"))</formula>
    </cfRule>
  </conditionalFormatting>
  <conditionalFormatting sqref="D18">
    <cfRule type="expression" dxfId="185" priority="200">
      <formula>AND(OR(SUMPRODUCT(--($G$26:$G$56&lt;&gt;""))=31, SUMPRODUCT(--$L$26:$L$56&lt;&gt;""))=31, $D$18="", OR($D$15="", $D$15= "Yes"))</formula>
    </cfRule>
  </conditionalFormatting>
  <conditionalFormatting sqref="D19">
    <cfRule type="expression" dxfId="184" priority="199">
      <formula>AND(OR(SUMPRODUCT(--($G$26:$G$56&lt;&gt;""))=31, SUMPRODUCT(--$L$26:$L$56&lt;&gt;""))=31, $D$19="", OR($D$15="", $D$15= "Yes"))</formula>
    </cfRule>
  </conditionalFormatting>
  <conditionalFormatting sqref="D13">
    <cfRule type="expression" dxfId="183" priority="197">
      <formula>"'AND(OR(SUMPRODUCT(--($G$26:$G$56&lt;&gt;""""))=31, SUMPRODUCT(--$L$26:$L$56&lt;&gt;""""))=31, $D$13="""")"</formula>
    </cfRule>
  </conditionalFormatting>
  <conditionalFormatting sqref="K26:K56">
    <cfRule type="expression" dxfId="182" priority="5">
      <formula>$F$7="Performance Framework"</formula>
    </cfRule>
    <cfRule type="expression" dxfId="181" priority="6">
      <formula>$F$7="Reviewer / Coordinating Mechanism"</formula>
    </cfRule>
    <cfRule type="expression" dxfId="180" priority="7">
      <formula>$K$26=""</formula>
    </cfRule>
  </conditionalFormatting>
  <conditionalFormatting sqref="K27">
    <cfRule type="expression" dxfId="179" priority="37">
      <formula>OR(ISNUMBER(SEARCH("objective = 3     Preliminary score = 3",$K$27)),ISNUMBER(SEARCH("objective = 3     Preliminary score = 2",$K$27)),ISNUMBER(SEARCH("objective = 2     Preliminary score = 3",$K$27)),ISNUMBER(SEARCH("objective = 2     Preliminary score = 2",$K$27)),ISNUMBER(SEARCH("Old score = 3          Preliminary score = 3",$K$27)),ISNUMBER(SEARCH("Old score = 3          Preliminary score = 2",$K$27)),ISNUMBER(SEARCH("Old score = 2          Preliminary score = 3",$K$27)),ISNUMBER(SEARCH("Old score = 2          Preliminary score = 2",$K$27)))</formula>
    </cfRule>
    <cfRule type="expression" dxfId="178" priority="68">
      <formula>OR(ISNUMBER(SEARCH("objective = 3     Preliminary score = 1", $K$27)),ISNUMBER(SEARCH("objective = 3     Preliminary score = 0", $K$27)),ISNUMBER(SEARCH("objective = 1     Preliminary score = 2", $K$27)),ISNUMBER(SEARCH("objective = 1     Preliminary score = 3", $K$27)),ISNUMBER(SEARCH("objective = 0     Preliminary score = 1", $K$27)),ISNUMBER(SEARCH("objective = 0     Preliminary score = 2", $K$27)),ISNUMBER(SEARCH("objective = 0     Preliminary score = 3", $K$27)),ISNUMBER(SEARCH("Old score = 3          Preliminary score = 1", $K$27)),ISNUMBER(SEARCH("Old score = 3          Preliminary score = 0", $K$27)),ISNUMBER(SEARCH("Old score = 1          Preliminary score = 2", $K$27)),ISNUMBER(SEARCH("Old score = 1          Preliminary score = 3", $K$27)),ISNUMBER(SEARCH("Old score = 0          Preliminary score = 1", $K$27)),ISNUMBER(SEARCH("Old score = 0          Preliminary score = 2", $K$27)),ISNUMBER(SEARCH("Old score = 0          Preliminary score = 3", $K$27)))</formula>
    </cfRule>
    <cfRule type="expression" dxfId="177" priority="97">
      <formula>OR(ISNUMBER(SEARCH("objective = 2     Preliminary score = 1", $K$27)),ISNUMBER(SEARCH("objective = 2     Preliminary score = 0", $K$27)),ISNUMBER(SEARCH("objective = 1     Preliminary score = 1", $K$27)),ISNUMBER(SEARCH("objective = 1     Preliminary score = 0", $K$27)),ISNUMBER(SEARCH("objective = 0     Preliminary score = 0", $K$27)),ISNUMBER(SEARCH("Old score = 2          Preliminary score = 1", $K$27)),ISNUMBER(SEARCH("Old score = 2          Preliminary score = 0", $K$27)),ISNUMBER(SEARCH("Old score = 1          Preliminary score = 1", $K$27)),ISNUMBER(SEARCH("score = 1          Preliminary score = 0", $K$27)),ISNUMBER(SEARCH("score = 0          Preliminary score = 0", $K$27)))</formula>
    </cfRule>
  </conditionalFormatting>
  <conditionalFormatting sqref="K31">
    <cfRule type="expression" dxfId="176" priority="33">
      <formula>OR(ISNUMBER(SEARCH("objective = 3     Preliminary score = 3",$K$31)),ISNUMBER(SEARCH("objective = 3     Preliminary score = 2",$K$31)),ISNUMBER(SEARCH("objective = 2     Preliminary score = 3",$K$31)),ISNUMBER(SEARCH("objective = 2     Preliminary score = 2",$K$31)),ISNUMBER(SEARCH("Old score = 3          Preliminary score = 3",$K$31)),ISNUMBER(SEARCH("Old score = 3          Preliminary score = 2",$K$31)),ISNUMBER(SEARCH("Old score = 2          Preliminary score = 3",$K$31)),ISNUMBER(SEARCH("Old score = 2          Preliminary score = 2",$K$31)))</formula>
    </cfRule>
    <cfRule type="expression" dxfId="175" priority="64">
      <formula>OR(ISNUMBER(SEARCH("objective = 3     Preliminary score = 1", $K$31)),ISNUMBER(SEARCH("objective = 3     Preliminary score = 0", $K$31)),ISNUMBER(SEARCH("objective = 1     Preliminary score = 2", $K$31)),ISNUMBER(SEARCH("objective = 1     Preliminary score = 3", $K$31)),ISNUMBER(SEARCH("objective = 0     Preliminary score = 1", $K$31)),ISNUMBER(SEARCH("objective = 0     Preliminary score = 2", $K$31)),ISNUMBER(SEARCH("objective = 0     Preliminary score = 3", $K$31)),ISNUMBER(SEARCH("Old score = 3          Preliminary score = 1", $K$31)),ISNUMBER(SEARCH("Old score = 3          Preliminary score = 0", $K$31)),ISNUMBER(SEARCH("Old score = 1          Preliminary score = 2", $K$31)),ISNUMBER(SEARCH("Old score = 1          Preliminary score = 3", $K$31)),ISNUMBER(SEARCH("Old score = 0          Preliminary score = 1", $K$31)),ISNUMBER(SEARCH("Old score = 0          Preliminary score = 2", $K$31)),ISNUMBER(SEARCH("Old score = 0          Preliminary score = 3", $K$31)))</formula>
    </cfRule>
    <cfRule type="expression" dxfId="174" priority="95">
      <formula>OR(ISNUMBER(SEARCH("objective = 2     Preliminary score = 1", $K$31)),ISNUMBER(SEARCH("objective = 2     Preliminary score = 0", $K$31)),ISNUMBER(SEARCH("objective = 1     Preliminary score = 1", $K$31)),ISNUMBER(SEARCH("objective = 1     Preliminary score = 0", $K$31)),ISNUMBER(SEARCH("objective = 0     Preliminary score = 0", $K$31)),ISNUMBER(SEARCH("Old score = 2          Preliminary score = 1", $K$31)),ISNUMBER(SEARCH("Old score = 2          Preliminary score = 0", $K$31)),ISNUMBER(SEARCH("Old score = 1          Preliminary score = 1", $K$31)),ISNUMBER(SEARCH("score = 1          Preliminary score = 0", $K$31)),ISNUMBER(SEARCH("score = 0          Preliminary score = 0", $K$31)))</formula>
    </cfRule>
  </conditionalFormatting>
  <conditionalFormatting sqref="K36">
    <cfRule type="expression" dxfId="173" priority="28">
      <formula>OR(ISNUMBER(SEARCH("objective = 3     Preliminary score = 3",$K$36)),ISNUMBER(SEARCH("objective = 3     Preliminary score = 2",$K$36)),ISNUMBER(SEARCH("objective = 2     Preliminary score = 3",$K$36)),ISNUMBER(SEARCH("objective = 2     Preliminary score = 2",$K$36)),ISNUMBER(SEARCH("Old score = 3          Preliminary score = 3",$K$36)),ISNUMBER(SEARCH("Old score = 3          Preliminary score = 2",$K$36)),ISNUMBER(SEARCH("Old score = 2          Preliminary score = 3",$K$36)),ISNUMBER(SEARCH("Old score = 2          Preliminary score = 2",$K$36)))</formula>
    </cfRule>
    <cfRule type="expression" dxfId="172" priority="59">
      <formula>OR(ISNUMBER(SEARCH("objective = 3     Preliminary score = 1", $K$36)),ISNUMBER(SEARCH("objective = 3     Preliminary score = 0", $K$36)),ISNUMBER(SEARCH("objective = 1     Preliminary score = 2", $K$36)),ISNUMBER(SEARCH("objective = 1     Preliminary score = 3", $K$36)),ISNUMBER(SEARCH("objective = 0     Preliminary score = 1", $K$36)),ISNUMBER(SEARCH("objective = 0     Preliminary score = 2", $K$36)),ISNUMBER(SEARCH("objective = 0     Preliminary score = 3", $K$36)),ISNUMBER(SEARCH("Old score = 3          Preliminary score = 1", $K$36)),ISNUMBER(SEARCH("Old score = 3          Preliminary score = 0", $K$36)),ISNUMBER(SEARCH("Old score = 1          Preliminary score = 2", $K$36)),ISNUMBER(SEARCH("Old score = 1          Preliminary score = 3", $K$36)),ISNUMBER(SEARCH("Old score = 0          Preliminary score = 1", $K$36)),ISNUMBER(SEARCH("Old score = 0          Preliminary score = 2", $K$36)),ISNUMBER(SEARCH("Old score = 0          Preliminary score = 3", $K$36)))</formula>
    </cfRule>
    <cfRule type="expression" dxfId="171" priority="90">
      <formula>OR(ISNUMBER(SEARCH("objective = 2     Preliminary score = 1", $K$36)),ISNUMBER(SEARCH("objective = 2     Preliminary score = 0", $K$36)),ISNUMBER(SEARCH("objective = 1     Preliminary score = 1", $K$36)),ISNUMBER(SEARCH("objective = 1     Preliminary score = 0", $K$36)),ISNUMBER(SEARCH("objective = 0     Preliminary score = 0", $K$36)),ISNUMBER(SEARCH("Old score = 2          Preliminary score = 1", $K$36)),ISNUMBER(SEARCH("Old score = 2          Preliminary score = 0", $K$36)),ISNUMBER(SEARCH("Old score = 1          Preliminary score = 1", $K$36)),ISNUMBER(SEARCH("score = 1          Preliminary score = 0", $K$36)),ISNUMBER(SEARCH("score = 0          Preliminary score = 0", $K$36)))</formula>
    </cfRule>
  </conditionalFormatting>
  <conditionalFormatting sqref="K37">
    <cfRule type="expression" dxfId="170" priority="27">
      <formula>OR(ISNUMBER(SEARCH("objective = 3     Preliminary score = 3",$K$37)),ISNUMBER(SEARCH("objective = 3     Preliminary score = 2",$K$37)),ISNUMBER(SEARCH("objective = 2     Preliminary score = 3",$K$37)),ISNUMBER(SEARCH("objective = 2     Preliminary score = 2",$K$37)),ISNUMBER(SEARCH("Old score = 3          Preliminary score = 3",$K$37)),ISNUMBER(SEARCH("Old score = 3          Preliminary score = 2",$K$37)),ISNUMBER(SEARCH("Old score = 2          Preliminary score = 3",$K$37)),ISNUMBER(SEARCH("Old score = 2          Preliminary score = 2",$K$37)))</formula>
    </cfRule>
    <cfRule type="expression" dxfId="169" priority="58">
      <formula>OR(ISNUMBER(SEARCH("objective = 3     Preliminary score = 1", $K$37)),ISNUMBER(SEARCH("objective = 3     Preliminary score = 0", $K$37)),ISNUMBER(SEARCH("objective = 1     Preliminary score = 2", $K$37)),ISNUMBER(SEARCH("objective = 1     Preliminary score = 3", $K$37)),ISNUMBER(SEARCH("objective = 0     Preliminary score = 1", $K$37)),ISNUMBER(SEARCH("objective = 0     Preliminary score = 2", $K$37)),ISNUMBER(SEARCH("objective = 0     Preliminary score = 3", $K$37)),ISNUMBER(SEARCH("Old score = 3          Preliminary score = 1", $K$37)),ISNUMBER(SEARCH("Old score = 3          Preliminary score = 0", $K$37)),ISNUMBER(SEARCH("Old score = 1          Preliminary score = 2", $K$37)),ISNUMBER(SEARCH("Old score = 1          Preliminary score = 3", $K$37)),ISNUMBER(SEARCH("Old score = 0          Preliminary score = 1", $K$37)),ISNUMBER(SEARCH("Old score = 0          Preliminary score = 2", $K$37)),ISNUMBER(SEARCH("Old score = 0          Preliminary score = 3", $K$37)))</formula>
    </cfRule>
    <cfRule type="expression" dxfId="168" priority="89">
      <formula>OR(ISNUMBER(SEARCH("objective = 2     Preliminary score = 1", $K$37)),ISNUMBER(SEARCH("objective = 2     Preliminary score = 0", $K$37)),ISNUMBER(SEARCH("objective = 1     Preliminary score = 1", $K$37)),ISNUMBER(SEARCH("objective = 1     Preliminary score = 0", $K$37)),ISNUMBER(SEARCH("objective = 0     Preliminary score = 0", $K$37)),ISNUMBER(SEARCH("Old score = 2          Preliminary score = 1", $K$37)),ISNUMBER(SEARCH("Old score = 2          Preliminary score = 0", $K$37)),ISNUMBER(SEARCH("Old score = 1          Preliminary score = 1", $K$37)),ISNUMBER(SEARCH("score = 1          Preliminary score = 0", $K$37)),ISNUMBER(SEARCH("score = 0          Preliminary score = 0", $K$37)))</formula>
    </cfRule>
  </conditionalFormatting>
  <conditionalFormatting sqref="K52">
    <cfRule type="expression" dxfId="167" priority="12">
      <formula>OR(ISNUMBER(SEARCH("objective = 3     Preliminary score = 3",$K$52)),ISNUMBER(SEARCH("objective = 3     Preliminary score = 2",$K$52)),ISNUMBER(SEARCH("objective = 2     Preliminary score = 3",$K$52)),ISNUMBER(SEARCH("objective = 2     Preliminary score = 2",$K$52)),ISNUMBER(SEARCH("Old score = 3          Preliminary score = 3",$K$52)),ISNUMBER(SEARCH("Old score = 3          Preliminary score = 2",$K$52)),ISNUMBER(SEARCH("Old score = 2          Preliminary score = 3",$K$52)),ISNUMBER(SEARCH("Old score = 2          Preliminary score = 2",$K$52)))</formula>
    </cfRule>
    <cfRule type="expression" dxfId="166" priority="43">
      <formula>OR(ISNUMBER(SEARCH("objective = 3     Preliminary score = 1", $K$52)),ISNUMBER(SEARCH("objective = 3     Preliminary score = 0", $K$52)),ISNUMBER(SEARCH("objective = 1     Preliminary score = 2", $K$52)),ISNUMBER(SEARCH("objective = 1     Preliminary score = 3", $K$52)),ISNUMBER(SEARCH("objective = 0     Preliminary score = 1", $K$52)),ISNUMBER(SEARCH("objective = 0     Preliminary score = 2", $K$52)),ISNUMBER(SEARCH("objective = 0     Preliminary score = 3", $K$52)),ISNUMBER(SEARCH("Old score = 3          Preliminary score = 1", $K$52)),ISNUMBER(SEARCH("Old score = 3          Preliminary score = 0", $K$52)),ISNUMBER(SEARCH("Old score = 1          Preliminary score = 2", $K$52)),ISNUMBER(SEARCH("Old score = 1          Preliminary score = 3", $K$52)),ISNUMBER(SEARCH("Old score = 0          Preliminary score = 1", $K$52)),ISNUMBER(SEARCH("Old score = 0          Preliminary score = 2", $K$52)),ISNUMBER(SEARCH("Old score = 0          Preliminary score = 3", $K$52)))</formula>
    </cfRule>
    <cfRule type="expression" dxfId="165" priority="74">
      <formula>OR(ISNUMBER(SEARCH("objective = 2     Preliminary score = 1", $K$52)),ISNUMBER(SEARCH("objective = 2     Preliminary score = 0", $K$52)),ISNUMBER(SEARCH("objective = 1     Preliminary score = 1", $K$52)),ISNUMBER(SEARCH("objective = 1     Preliminary score = 0", $K$52)),ISNUMBER(SEARCH("objective = 0     Preliminary score = 0", $K$52)),ISNUMBER(SEARCH("Old score = 2          Preliminary score = 1", $K$52)),ISNUMBER(SEARCH("Old score = 2          Preliminary score = 0", $K$52)),ISNUMBER(SEARCH("Old score = 1          Preliminary score = 1", $K$52)),ISNUMBER(SEARCH("score = 1          Preliminary score = 0", $K$52)),ISNUMBER(SEARCH("score = 0          Preliminary score = 0", $K$52)))</formula>
    </cfRule>
  </conditionalFormatting>
  <conditionalFormatting sqref="K56">
    <cfRule type="expression" dxfId="164" priority="8">
      <formula>OR(ISNUMBER(SEARCH("objective = 3     Preliminary score = 3",$K$56)),ISNUMBER(SEARCH("objective = 3     Preliminary score = 2",$K$56)),ISNUMBER(SEARCH("objective = 2     Preliminary score = 3",$K$56)),ISNUMBER(SEARCH("objective = 2     Preliminary score = 2",$K$56)),ISNUMBER(SEARCH("Old score = 3          Preliminary score = 3",$K$56)),ISNUMBER(SEARCH("Old score = 3          Preliminary score = 2",$K$56)),ISNUMBER(SEARCH("Old score = 2          Preliminary score = 3",$K$56)),ISNUMBER(SEARCH("Old score = 2          Preliminary score = 2",$K$56)))</formula>
    </cfRule>
    <cfRule type="expression" dxfId="163" priority="39">
      <formula>OR(ISNUMBER(SEARCH("objective = 3     Preliminary score = 1", $K$56)),ISNUMBER(SEARCH("objective = 3     Preliminary score = 0", $K$56)),ISNUMBER(SEARCH("objective = 1     Preliminary score = 2", $K$56)),ISNUMBER(SEARCH("objective = 1     Preliminary score = 3", $K$56)),ISNUMBER(SEARCH("objective = 0     Preliminary score = 1", $K$56)),ISNUMBER(SEARCH("objective = 0     Preliminary score = 2", $K$56)),ISNUMBER(SEARCH("objective = 0     Preliminary score = 3", $K$56)),ISNUMBER(SEARCH("Old score = 3          Preliminary score = 1", $K$56)),ISNUMBER(SEARCH("Old score = 3          Preliminary score = 0", $K$56)),ISNUMBER(SEARCH("Old score = 1          Preliminary score = 2", $K$56)),ISNUMBER(SEARCH("Old score = 1          Preliminary score = 3", $K$56)),ISNUMBER(SEARCH("Old score = 0          Preliminary score = 1", $K$56)),ISNUMBER(SEARCH("Old score = 0          Preliminary score = 2", $K$56)),ISNUMBER(SEARCH("Old score = 0          Preliminary score = 3", $K$56)))</formula>
    </cfRule>
    <cfRule type="expression" dxfId="162" priority="70">
      <formula>OR(ISNUMBER(SEARCH("objective = 2     Preliminary score = 1", $K$56)),ISNUMBER(SEARCH("objective = 2     Preliminary score = 0", $K$56)),ISNUMBER(SEARCH("objective = 1     Preliminary score = 1", $K$56)),ISNUMBER(SEARCH("objective = 1     Preliminary score = 0", $K$56)),ISNUMBER(SEARCH("objective = 0     Preliminary score = 0", $K$56)),ISNUMBER(SEARCH("Old score = 2          Preliminary score = 1", $K$56)),ISNUMBER(SEARCH("Old score = 2          Preliminary score = 0", $K$56)),ISNUMBER(SEARCH("Old score = 1          Preliminary score = 1", $K$56)),ISNUMBER(SEARCH("score = 1          Preliminary score = 0", $K$56)),ISNUMBER(SEARCH("score = 0          Preliminary score = 0", $K$56)))</formula>
    </cfRule>
  </conditionalFormatting>
  <conditionalFormatting sqref="K30">
    <cfRule type="expression" dxfId="161" priority="34">
      <formula>OR(ISNUMBER(SEARCH("objective = 3     Preliminary score = 3",$K$30)),ISNUMBER(SEARCH("objective = 3     Preliminary score = 2",$K$30)),ISNUMBER(SEARCH("objective = 2     Preliminary score = 3",$K$30)),ISNUMBER(SEARCH("objective = 2     Preliminary score = 2",$K$30)),ISNUMBER(SEARCH("Old score = 3          Preliminary score = 3",$K$30)),ISNUMBER(SEARCH("Old score = 3          Preliminary score = 2",$K$30)),ISNUMBER(SEARCH("Old score = 2          Preliminary score = 3",$K$30)),ISNUMBER(SEARCH("Old score = 2          Preliminary score = 2",$K$30)))</formula>
    </cfRule>
    <cfRule type="expression" dxfId="160" priority="65">
      <formula>OR(ISNUMBER(SEARCH("objective = 3     Preliminary score = 1", $K$30)),ISNUMBER(SEARCH("objective = 3     Preliminary score = 0", $K$30)),ISNUMBER(SEARCH("objective = 1     Preliminary score = 2", $K$30)),ISNUMBER(SEARCH("objective = 1     Preliminary score = 3", $K$30)),ISNUMBER(SEARCH("objective = 0     Preliminary score = 1", $K$30)),ISNUMBER(SEARCH("objective = 0     Preliminary score = 2", $K$30)),ISNUMBER(SEARCH("objective = 0     Preliminary score = 3", $K$30)),ISNUMBER(SEARCH("Old score = 3          Preliminary score = 1", $K$30)),ISNUMBER(SEARCH("Old score = 3          Preliminary score = 0", $K$30)),ISNUMBER(SEARCH("Old score = 1          Preliminary score = 2", $K$30)),ISNUMBER(SEARCH("Old score = 1          Preliminary score = 3", $K$30)),ISNUMBER(SEARCH("Old score = 0          Preliminary score = 1", $K$30)),ISNUMBER(SEARCH("Old score = 0          Preliminary score = 2", $K$30)),ISNUMBER(SEARCH("Old score = 0          Preliminary score = 3", $K$30)))</formula>
    </cfRule>
    <cfRule type="expression" dxfId="159" priority="96">
      <formula>OR(ISNUMBER(SEARCH("objective = 2     Preliminary score = 1", $K$30)),ISNUMBER(SEARCH("objective = 2     Preliminary score = 0", $K$30)),ISNUMBER(SEARCH("objective = 1     Preliminary score = 1", $K$30)),ISNUMBER(SEARCH("objective = 1     Preliminary score = 0", $K$30)),ISNUMBER(SEARCH("objective = 0     Preliminary score = 0", $K$30)),ISNUMBER(SEARCH("Old score = 2          Preliminary score = 1", $K$30)),ISNUMBER(SEARCH("Old score = 2          Preliminary score = 0", $K$30)),ISNUMBER(SEARCH("Old score = 1          Preliminary score = 1", $K$30)),ISNUMBER(SEARCH("score = 1          Preliminary score = 0", $K$30)),ISNUMBER(SEARCH("score = 0          Preliminary score = 0", $K$30)))</formula>
    </cfRule>
  </conditionalFormatting>
  <conditionalFormatting sqref="K34">
    <cfRule type="expression" dxfId="158" priority="30">
      <formula>OR(ISNUMBER(SEARCH("objective = 3     Preliminary score = 3",$K$34)),ISNUMBER(SEARCH("objective = 3     Preliminary score = 2",$K$34)),ISNUMBER(SEARCH("objective = 2     Preliminary score = 3",$K$34)),ISNUMBER(SEARCH("objective = 2     Preliminary score = 2",$K$34)),ISNUMBER(SEARCH("Old score = 3          Preliminary score = 3",$K$34)),ISNUMBER(SEARCH("Old score = 3          Preliminary score = 2",$K$34)),ISNUMBER(SEARCH("Old score = 2          Preliminary score = 3",$K$34)),ISNUMBER(SEARCH("Old score = 2          Preliminary score = 2",$K$34)))</formula>
    </cfRule>
    <cfRule type="expression" dxfId="157" priority="61">
      <formula>OR(ISNUMBER(SEARCH("objective = 3     Preliminary score = 1", $K$34)),ISNUMBER(SEARCH("objective = 3     Preliminary score = 0", $K$34)),ISNUMBER(SEARCH("objective = 1     Preliminary score = 2", $K$34)),ISNUMBER(SEARCH("objective = 1     Preliminary score = 3", $K$34)),ISNUMBER(SEARCH("objective = 0     Preliminary score = 1", $K$34)),ISNUMBER(SEARCH("objective = 0     Preliminary score = 2", $K$34)),ISNUMBER(SEARCH("objective = 0     Preliminary score = 3", $K$34)),ISNUMBER(SEARCH("Old score = 3          Preliminary score = 1", $K$34)),ISNUMBER(SEARCH("Old score = 3          Preliminary score = 0", $K$34)),ISNUMBER(SEARCH("Old score = 1          Preliminary score = 2", $K$34)),ISNUMBER(SEARCH("Old score = 1          Preliminary score = 3", $K$34)),ISNUMBER(SEARCH("Old score = 0          Preliminary score = 1", $K$34)),ISNUMBER(SEARCH("Old score = 0          Preliminary score = 2", $K$34)),ISNUMBER(SEARCH("Old score = 0          Preliminary score = 3", $K$34)))</formula>
    </cfRule>
    <cfRule type="expression" dxfId="156" priority="92">
      <formula>OR(ISNUMBER(SEARCH("objective = 2     Preliminary score = 1", $K$34)),ISNUMBER(SEARCH("objective = 2     Preliminary score = 0", $K$34)),ISNUMBER(SEARCH("objective = 1     Preliminary score = 1", $K$34)),ISNUMBER(SEARCH("objective = 1     Preliminary score = 0", $K$34)),ISNUMBER(SEARCH("objective = 0     Preliminary score = 0", $K$34)),ISNUMBER(SEARCH("Old score = 2          Preliminary score = 1", $K$34)),ISNUMBER(SEARCH("Old score = 2          Preliminary score = 0", $K$34)),ISNUMBER(SEARCH("Old score = 1          Preliminary score = 1", $K$34)),ISNUMBER(SEARCH("score = 1          Preliminary score = 0", $K$34)),ISNUMBER(SEARCH("score = 0          Preliminary score = 0", $K$34)))</formula>
    </cfRule>
  </conditionalFormatting>
  <conditionalFormatting sqref="K35">
    <cfRule type="expression" dxfId="155" priority="29">
      <formula>OR(ISNUMBER(SEARCH("objective = 3     Preliminary score = 3",$K$35)),ISNUMBER(SEARCH("objective = 3     Preliminary score = 2",$K$35)),ISNUMBER(SEARCH("objective = 2     Preliminary score = 3",$K$35)),ISNUMBER(SEARCH("objective = 2     Preliminary score = 2",$K$35)),ISNUMBER(SEARCH("Old score = 3          Preliminary score = 3",$K$35)),ISNUMBER(SEARCH("Old score = 3          Preliminary score = 2",$K$35)),ISNUMBER(SEARCH("Old score = 2          Preliminary score = 3",$K$35)),ISNUMBER(SEARCH("Old score = 2          Preliminary score = 2",$K$35)))</formula>
    </cfRule>
    <cfRule type="expression" dxfId="154" priority="60">
      <formula>OR(ISNUMBER(SEARCH("objective = 3     Preliminary score = 1", $K$35)),ISNUMBER(SEARCH("objective = 3     Preliminary score = 0", $K$35)),ISNUMBER(SEARCH("objective = 1     Preliminary score = 2", $K$35)),ISNUMBER(SEARCH("objective = 1     Preliminary score = 3", $K$35)),ISNUMBER(SEARCH("objective = 0     Preliminary score = 1", $K$35)),ISNUMBER(SEARCH("objective = 0     Preliminary score = 2", $K$35)),ISNUMBER(SEARCH("objective = 0     Preliminary score = 3", $K$35)),ISNUMBER(SEARCH("Old score = 3          Preliminary score = 1", $K$35)),ISNUMBER(SEARCH("Old score = 3          Preliminary score = 0", $K$35)),ISNUMBER(SEARCH("Old score = 1          Preliminary score = 2", $K$35)),ISNUMBER(SEARCH("Old score = 1          Preliminary score = 3", $K$35)),ISNUMBER(SEARCH("Old score = 0          Preliminary score = 1", $K$35)),ISNUMBER(SEARCH("Old score = 0          Preliminary score = 2", $K$35)),ISNUMBER(SEARCH("Old score = 0          Preliminary score = 3", $K$35)))</formula>
    </cfRule>
    <cfRule type="expression" dxfId="153" priority="91">
      <formula>OR(ISNUMBER(SEARCH("objective = 2     Preliminary score = 1", $K$35)),ISNUMBER(SEARCH("objective = 2     Preliminary score = 0", $K$35)),ISNUMBER(SEARCH("objective = 1     Preliminary score = 1", $K$35)),ISNUMBER(SEARCH("objective = 1     Preliminary score = 0", $K$35)),ISNUMBER(SEARCH("objective = 0     Preliminary score = 0", $K$35)),ISNUMBER(SEARCH("Old score = 2          Preliminary score = 1", $K$35)),ISNUMBER(SEARCH("Old score = 2          Preliminary score = 0", $K$35)),ISNUMBER(SEARCH("Old score = 1          Preliminary score = 1", $K$35)),ISNUMBER(SEARCH("score = 1          Preliminary score = 0", $K$35)),ISNUMBER(SEARCH("score = 0          Preliminary score = 0", $K$35)))</formula>
    </cfRule>
  </conditionalFormatting>
  <conditionalFormatting sqref="K39">
    <cfRule type="expression" dxfId="152" priority="25">
      <formula>OR(ISNUMBER(SEARCH("objective = 3     Preliminary score = 3",$K$39)),ISNUMBER(SEARCH("objective = 3     Preliminary score = 2",$K$39)),ISNUMBER(SEARCH("objective = 2     Preliminary score = 3",$K$39)),ISNUMBER(SEARCH("objective = 2     Preliminary score = 2",$K$39)),ISNUMBER(SEARCH("Old score = 3          Preliminary score = 3",$K$39)),ISNUMBER(SEARCH("Old score = 3          Preliminary score = 2",$K$39)),ISNUMBER(SEARCH("Old score = 2          Preliminary score = 3",$K$39)),ISNUMBER(SEARCH("Old score = 2          Preliminary score = 2",$K$39)))</formula>
    </cfRule>
    <cfRule type="expression" dxfId="151" priority="56">
      <formula>OR(ISNUMBER(SEARCH("objective = 3     Preliminary score = 1", $K$39)),ISNUMBER(SEARCH("objective = 3     Preliminary score = 0", $K$39)),ISNUMBER(SEARCH("objective = 1     Preliminary score = 2", $K$39)),ISNUMBER(SEARCH("objective = 1     Preliminary score = 3", $K$39)),ISNUMBER(SEARCH("objective = 0     Preliminary score = 1", $K$39)),ISNUMBER(SEARCH("objective = 0     Preliminary score = 2", $K$39)),ISNUMBER(SEARCH("objective = 0     Preliminary score = 3", $K$39)),ISNUMBER(SEARCH("Old score = 3          Preliminary score = 1", $K$39)),ISNUMBER(SEARCH("Old score = 3          Preliminary score = 0", $K$39)),ISNUMBER(SEARCH("Old score = 1          Preliminary score = 2", $K$39)),ISNUMBER(SEARCH("Old score = 1          Preliminary score = 3", $K$39)),ISNUMBER(SEARCH("Old score = 0          Preliminary score = 1", $K$39)),ISNUMBER(SEARCH("Old score = 0          Preliminary score = 2", $K$39)),ISNUMBER(SEARCH("Old score = 0          Preliminary score = 3", $K$39)))</formula>
    </cfRule>
    <cfRule type="expression" dxfId="150" priority="87">
      <formula>OR(ISNUMBER(SEARCH("objective = 2     Preliminary score = 1", $K$39)),ISNUMBER(SEARCH("objective = 2     Preliminary score = 0", $K$39)),ISNUMBER(SEARCH("objective = 1     Preliminary score = 1", $K$39)),ISNUMBER(SEARCH("objective = 1     Preliminary score = 0", $K$39)),ISNUMBER(SEARCH("objective = 0     Preliminary score = 0", $K$39)),ISNUMBER(SEARCH("Old score = 2          Preliminary score = 1", $K$39)),ISNUMBER(SEARCH("Old score = 2          Preliminary score = 0", $K$39)),ISNUMBER(SEARCH("Old score = 1          Preliminary score = 1", $K$39)),ISNUMBER(SEARCH("score = 1          Preliminary score = 0", $K$39)),ISNUMBER(SEARCH("score = 0          Preliminary score = 0", $K$39)))</formula>
    </cfRule>
  </conditionalFormatting>
  <conditionalFormatting sqref="K43">
    <cfRule type="expression" dxfId="149" priority="21">
      <formula>OR(ISNUMBER(SEARCH("objective = 3     Preliminary score = 3",$K$43)),ISNUMBER(SEARCH("objective = 3     Preliminary score = 2",$K$43)),ISNUMBER(SEARCH("objective = 2     Preliminary score = 3",$K$43)),ISNUMBER(SEARCH("objective = 2     Preliminary score = 2",$K$43)),ISNUMBER(SEARCH("Old score = 3          Preliminary score = 3",$K$43)),ISNUMBER(SEARCH("Old score = 3          Preliminary score = 2",$K$43)),ISNUMBER(SEARCH("Old score = 2          Preliminary score = 3",$K$43)),ISNUMBER(SEARCH("Old score = 2          Preliminary score = 2",$K$43)))</formula>
    </cfRule>
    <cfRule type="expression" dxfId="148" priority="52">
      <formula>OR(ISNUMBER(SEARCH("objective = 3     Preliminary score = 1", $K$43)),ISNUMBER(SEARCH("objective = 3     Preliminary score = 0", $K$43)),ISNUMBER(SEARCH("objective = 1     Preliminary score = 2", $K$43)),ISNUMBER(SEARCH("objective = 1     Preliminary score = 3", $K$43)),ISNUMBER(SEARCH("objective = 0     Preliminary score = 1", $K$43)),ISNUMBER(SEARCH("objective = 0     Preliminary score = 2", $K$43)),ISNUMBER(SEARCH("objective = 0     Preliminary score = 3", $K$43)),ISNUMBER(SEARCH("Old score = 3          Preliminary score = 1", $K$43)),ISNUMBER(SEARCH("Old score = 3          Preliminary score = 0", $K$43)),ISNUMBER(SEARCH("Old score = 1          Preliminary score = 2", $K$43)),ISNUMBER(SEARCH("Old score = 1          Preliminary score = 3", $K$43)),ISNUMBER(SEARCH("Old score = 0          Preliminary score = 1", $K$43)),ISNUMBER(SEARCH("Old score = 0          Preliminary score = 2", $K$43)),ISNUMBER(SEARCH("Old score = 0          Preliminary score = 3", $K$43)))</formula>
    </cfRule>
    <cfRule type="expression" dxfId="147" priority="83">
      <formula>OR(ISNUMBER(SEARCH("objective = 2     Preliminary score = 1", $K$43)),ISNUMBER(SEARCH("objective = 2     Preliminary score = 0", $K$43)),ISNUMBER(SEARCH("objective = 1     Preliminary score = 1", $K$43)),ISNUMBER(SEARCH("objective = 1     Preliminary score = 0", $K$43)),ISNUMBER(SEARCH("objective = 0     Preliminary score = 0", $K$43)),ISNUMBER(SEARCH("Old score = 2          Preliminary score = 1", $K$43)),ISNUMBER(SEARCH("Old score = 2          Preliminary score = 0", $K$43)),ISNUMBER(SEARCH("Old score = 1          Preliminary score = 1", $K$43)),ISNUMBER(SEARCH("score = 1          Preliminary score = 0", $K$43)),ISNUMBER(SEARCH("score = 0          Preliminary score = 0", $K$43)))</formula>
    </cfRule>
  </conditionalFormatting>
  <conditionalFormatting sqref="K48">
    <cfRule type="expression" dxfId="146" priority="16">
      <formula>OR(ISNUMBER(SEARCH("objective = 3     Preliminary score = 3",$K$48)),ISNUMBER(SEARCH("objective = 3     Preliminary score = 2",$K$48)),ISNUMBER(SEARCH("objective = 2     Preliminary score = 3",$K$48)),ISNUMBER(SEARCH("objective = 2     Preliminary score = 2",$K$48)),ISNUMBER(SEARCH("Old score = 3          Preliminary score = 3",$K$48)),ISNUMBER(SEARCH("Old score = 3          Preliminary score = 2",$K$48)),ISNUMBER(SEARCH("Old score = 2          Preliminary score = 3",$K$48)),ISNUMBER(SEARCH("Old score = 2          Preliminary score = 2",$K$48)))</formula>
    </cfRule>
    <cfRule type="expression" dxfId="145" priority="47">
      <formula>OR(ISNUMBER(SEARCH("objective = 3     Preliminary score = 1", $K$48)),ISNUMBER(SEARCH("objective = 3     Preliminary score = 0", $K$48)),ISNUMBER(SEARCH("objective = 1     Preliminary score = 2", $K$48)),ISNUMBER(SEARCH("objective = 1     Preliminary score = 3", $K$48)),ISNUMBER(SEARCH("objective = 0     Preliminary score = 1", $K$48)),ISNUMBER(SEARCH("objective = 0     Preliminary score = 2", $K$48)),ISNUMBER(SEARCH("objective = 0     Preliminary score = 3", $K$48)),ISNUMBER(SEARCH("Old score = 3          Preliminary score = 1", $K$48)),ISNUMBER(SEARCH("Old score = 3          Preliminary score = 0", $K$48)),ISNUMBER(SEARCH("Old score = 1          Preliminary score = 2", $K$48)),ISNUMBER(SEARCH("Old score = 1          Preliminary score = 3", $K$48)),ISNUMBER(SEARCH("Old score = 0          Preliminary score = 1", $K$48)),ISNUMBER(SEARCH("Old score = 0          Preliminary score = 2", $K$48)),ISNUMBER(SEARCH("Old score = 0          Preliminary score = 3", $K$48)))</formula>
    </cfRule>
    <cfRule type="expression" dxfId="144" priority="78">
      <formula>OR(ISNUMBER(SEARCH("objective = 2     Preliminary score = 1", $K$48)),ISNUMBER(SEARCH("objective = 2     Preliminary score = 0", $K$48)),ISNUMBER(SEARCH("objective = 1     Preliminary score = 1", $K$48)),ISNUMBER(SEARCH("objective = 1     Preliminary score = 0", $K$48)),ISNUMBER(SEARCH("objective = 0     Preliminary score = 0", $K$48)),ISNUMBER(SEARCH("Old score = 2          Preliminary score = 1", $K$48)),ISNUMBER(SEARCH("Old score = 2          Preliminary score = 0", $K$48)),ISNUMBER(SEARCH("Old score = 1          Preliminary score = 1", $K$48)),ISNUMBER(SEARCH("score = 1          Preliminary score = 0", $K$48)),ISNUMBER(SEARCH("score = 0          Preliminary score = 0", $K$48)))</formula>
    </cfRule>
  </conditionalFormatting>
  <conditionalFormatting sqref="K54">
    <cfRule type="expression" dxfId="143" priority="10">
      <formula>OR(ISNUMBER(SEARCH("objective = 3     Preliminary score = 3",$K$54)),ISNUMBER(SEARCH("objective = 3     Preliminary score = 2",$K$54)),ISNUMBER(SEARCH("objective = 2     Preliminary score = 3",$K$54)),ISNUMBER(SEARCH("objective = 2     Preliminary score = 2",$K$54)),ISNUMBER(SEARCH("Old score = 3          Preliminary score = 3",$K$54)),ISNUMBER(SEARCH("Old score = 3          Preliminary score = 2",$K$54)),ISNUMBER(SEARCH("Old score = 2          Preliminary score = 3",$K$54)),ISNUMBER(SEARCH("Old score = 2          Preliminary score = 2",$K$54)))</formula>
    </cfRule>
    <cfRule type="expression" dxfId="142" priority="41">
      <formula>OR(ISNUMBER(SEARCH("objective = 3     Preliminary score = 1", $K$54)),ISNUMBER(SEARCH("objective = 3     Preliminary score = 0", $K$54)),ISNUMBER(SEARCH("objective = 1     Preliminary score = 2", $K$54)),ISNUMBER(SEARCH("objective = 1     Preliminary score = 3", $K$54)),ISNUMBER(SEARCH("objective = 0     Preliminary score = 1", $K$54)),ISNUMBER(SEARCH("objective = 0     Preliminary score = 2", $K$54)),ISNUMBER(SEARCH("objective = 0     Preliminary score = 3", $K$54)),ISNUMBER(SEARCH("Old score = 3          Preliminary score = 1", $K$54)),ISNUMBER(SEARCH("Old score = 3          Preliminary score = 0", $K$54)),ISNUMBER(SEARCH("Old score = 1          Preliminary score = 2", $K$54)),ISNUMBER(SEARCH("Old score = 1          Preliminary score = 3", $K$54)),ISNUMBER(SEARCH("Old score = 0          Preliminary score = 1", $K$54)),ISNUMBER(SEARCH("Old score = 0          Preliminary score = 2", $K$54)),ISNUMBER(SEARCH("Old score = 0          Preliminary score = 3", $K$54)))</formula>
    </cfRule>
    <cfRule type="expression" dxfId="141" priority="72">
      <formula>OR(ISNUMBER(SEARCH("objective = 2     Preliminary score = 1", $K$54)),ISNUMBER(SEARCH("objective = 2     Preliminary score = 0", $K$54)),ISNUMBER(SEARCH("objective = 1     Preliminary score = 1", $K$54)),ISNUMBER(SEARCH("objective = 1     Preliminary score = 0", $K$54)),ISNUMBER(SEARCH("objective = 0     Preliminary score = 0", $K$54)),ISNUMBER(SEARCH("Old score = 2          Preliminary score = 1", $K$54)),ISNUMBER(SEARCH("Old score = 2          Preliminary score = 0", $K$54)),ISNUMBER(SEARCH("Old score = 1          Preliminary score = 1", $K$54)),ISNUMBER(SEARCH("score = 1          Preliminary score = 0", $K$54)),ISNUMBER(SEARCH("score = 0          Preliminary score = 0", $K$54)))</formula>
    </cfRule>
  </conditionalFormatting>
  <conditionalFormatting sqref="K49">
    <cfRule type="expression" dxfId="140" priority="15">
      <formula>OR(ISNUMBER(SEARCH("objective = 3     Preliminary score = 3",$K$49)),ISNUMBER(SEARCH("objective = 3     Preliminary score = 2",$K$49)),ISNUMBER(SEARCH("objective = 2     Preliminary score = 3",$K$49)),ISNUMBER(SEARCH("objective = 2     Preliminary score = 2",$K$49)),ISNUMBER(SEARCH("Old score = 3          Preliminary score = 3",$K$49)),ISNUMBER(SEARCH("Old score = 3          Preliminary score = 2",$K$49)),ISNUMBER(SEARCH("Old score = 2          Preliminary score = 3",$K$49)),ISNUMBER(SEARCH("Old score = 2          Preliminary score = 2",$K$49)))</formula>
    </cfRule>
    <cfRule type="expression" dxfId="139" priority="46" stopIfTrue="1">
      <formula>OR(ISNUMBER(SEARCH("objective = 3     Preliminary score = 1", $K$49)),ISNUMBER(SEARCH("objective = 3     Preliminary score = 0", $K$49)),ISNUMBER(SEARCH("objective = 1     Preliminary score = 2", $K$49)),ISNUMBER(SEARCH("objective = 1     Preliminary score = 3", $K$49)),ISNUMBER(SEARCH("objective = 0     Preliminary score = 1", $K$49)),ISNUMBER(SEARCH("objective = 0     Preliminary score = 2", $K$49)),ISNUMBER(SEARCH("objective = 0     Preliminary score = 3", $K$49)),ISNUMBER(SEARCH("Old score = 3          Preliminary score = 1", $K$49)),ISNUMBER(SEARCH("Old score = 3          Preliminary score = 0", $K$49)),ISNUMBER(SEARCH("Old score = 1          Preliminary score = 2", $K$49)),ISNUMBER(SEARCH("Old score = 1          Preliminary score = 3", $K$49)),ISNUMBER(SEARCH("Old score = 0          Preliminary score = 1", $K$49)),ISNUMBER(SEARCH("Old score = 0          Preliminary score = 2", $K$49)),ISNUMBER(SEARCH("Old score = 0          Preliminary score = 3", $K$49)))</formula>
    </cfRule>
    <cfRule type="expression" dxfId="138" priority="77" stopIfTrue="1">
      <formula>OR(ISNUMBER(SEARCH("objective = 2     Preliminary score = 1", $K$49)),ISNUMBER(SEARCH("objective = 2     Preliminary score = 0", $K$49)),ISNUMBER(SEARCH("objective = 1     Preliminary score = 1", $K$49)),ISNUMBER(SEARCH("objective = 1     Preliminary score = 0", $K$49)),ISNUMBER(SEARCH("objective = 0     Preliminary score = 0", $K$49)),ISNUMBER(SEARCH("Old score = 2          Preliminary score = 1", $K$49)),ISNUMBER(SEARCH("Old score = 2          Preliminary score = 0", $K$49)),ISNUMBER(SEARCH("Old score = 1          Preliminary score = 1", $K$49)),ISNUMBER(SEARCH("score = 1          Preliminary score = 0", $K$49)),ISNUMBER(SEARCH("score = 0          Preliminary score = 0", $K$49)))</formula>
    </cfRule>
  </conditionalFormatting>
  <conditionalFormatting sqref="K26">
    <cfRule type="expression" dxfId="137" priority="38">
      <formula>OR(ISNUMBER(SEARCH("objective = 3     Preliminary score = 3",$K$26)),ISNUMBER(SEARCH("objective = 3     Preliminary score = 2",$K$26)),ISNUMBER(SEARCH("objective = 2     Preliminary score = 3",$K$26)),ISNUMBER(SEARCH("objective = 2     Preliminary score = 2",$K$26)),ISNUMBER(SEARCH("Old score = 3          Preliminary score = 3",$K$26)),ISNUMBER(SEARCH("Old score = 3          Preliminary score = 2",$K$26)),ISNUMBER(SEARCH("Old score = 2          Preliminary score = 3",$K$26)),ISNUMBER(SEARCH("Old score = 2          Preliminary score = 2",$K$26)))</formula>
    </cfRule>
    <cfRule type="expression" dxfId="136" priority="69">
      <formula>OR(ISNUMBER(SEARCH("objective = 3     Preliminary score = 1", $K$26)),ISNUMBER(SEARCH("objective = 3     Preliminary score = 0", $K$26)),ISNUMBER(SEARCH("objective = 1     Preliminary score = 2", $K$26)),ISNUMBER(SEARCH("objective = 1     Preliminary score = 3", $K$26)),ISNUMBER(SEARCH("objective = 0     Preliminary score = 1", $K$26)),ISNUMBER(SEARCH("objective = 0     Preliminary score = 2", $K$26)),ISNUMBER(SEARCH("objective = 0     Preliminary score = 3", $K$26)),ISNUMBER(SEARCH("Old score = 3          Preliminary score = 1", $K$26)),ISNUMBER(SEARCH("Old score = 3          Preliminary score = 0", $K$26)),ISNUMBER(SEARCH("Old score = 1          Preliminary score = 2", $K$26)),ISNUMBER(SEARCH("Old score = 1          Preliminary score = 3", $K$26)),ISNUMBER(SEARCH("Old score = 0          Preliminary score = 1", $K$26)),ISNUMBER(SEARCH("Old score = 0          Preliminary score = 2", $K$26)),ISNUMBER(SEARCH("Old score = 0          Preliminary score = 3", $K$26)))</formula>
    </cfRule>
    <cfRule type="expression" dxfId="135" priority="100">
      <formula>OR(ISNUMBER(SEARCH("objective = 2     Preliminary score = 1", $K$26)),ISNUMBER(SEARCH("objective = 2     Preliminary score = 0", $K$26)),ISNUMBER(SEARCH("objective = 1     Preliminary score = 1", $K$26)),ISNUMBER(SEARCH("objective = 1     Preliminary score = 0", $K$26)),ISNUMBER(SEARCH("objective = 0     Preliminary score = 0", $K$26)),ISNUMBER(SEARCH("Old score = 2          Preliminary score = 1", $K$26)),ISNUMBER(SEARCH("Old score = 2          Preliminary score = 0", $K$26)),ISNUMBER(SEARCH("Old score = 1          Preliminary score = 1", $K$26)),ISNUMBER(SEARCH("score = 1          Preliminary score = 0", $K$26)),ISNUMBER(SEARCH("score = 0          Preliminary score = 0", $K$26)))</formula>
    </cfRule>
  </conditionalFormatting>
  <conditionalFormatting sqref="K28">
    <cfRule type="expression" dxfId="134" priority="36">
      <formula>OR(ISNUMBER(SEARCH("objective = 3     Preliminary score = 3",$K$28)),ISNUMBER(SEARCH("objective = 3     Preliminary score = 2",$K$28)),ISNUMBER(SEARCH("objective = 2     Preliminary score = 3",$K$28)),ISNUMBER(SEARCH("objective = 2     Preliminary score = 2",$K$28)),ISNUMBER(SEARCH("Old score = 3          Preliminary score = 3",$K$28)),ISNUMBER(SEARCH("Old score = 3          Preliminary score = 2",$K$28)),ISNUMBER(SEARCH("Old score = 2          Preliminary score = 3",$K$28)),ISNUMBER(SEARCH("Old score = 2          Preliminary score = 2",$K$28)))</formula>
    </cfRule>
    <cfRule type="expression" dxfId="133" priority="67">
      <formula>OR(ISNUMBER(SEARCH("objective = 3     Preliminary score = 1", $K$28)),ISNUMBER(SEARCH("objective = 3     Preliminary score = 0", $K$28)),ISNUMBER(SEARCH("objective = 1     Preliminary score = 2", $K$28)),ISNUMBER(SEARCH("objective = 1     Preliminary score = 3", $K$28)),ISNUMBER(SEARCH("objective = 0     Preliminary score = 1", $K$28)),ISNUMBER(SEARCH("objective = 0     Preliminary score = 2", $K$28)),ISNUMBER(SEARCH("objective = 0     Preliminary score = 3", $K$28)),ISNUMBER(SEARCH("Old score = 3          Preliminary score = 1", $K$28)),ISNUMBER(SEARCH("Old score = 3          Preliminary score = 0", $K$28)),ISNUMBER(SEARCH("Old score = 1          Preliminary score = 2", $K$28)),ISNUMBER(SEARCH("Old score = 1          Preliminary score = 3", $K$28)),ISNUMBER(SEARCH("Old score = 0          Preliminary score = 1", $K$28)),ISNUMBER(SEARCH("Old score = 0          Preliminary score = 2", $K$28)),ISNUMBER(SEARCH("Old score = 0          Preliminary score = 3", $K$28)))</formula>
    </cfRule>
    <cfRule type="expression" dxfId="132" priority="98">
      <formula>OR(ISNUMBER(SEARCH("objective = 2     Preliminary score = 1", $K$28)),ISNUMBER(SEARCH("objective = 2     Preliminary score = 0", $K$28)),ISNUMBER(SEARCH("objective = 1     Preliminary score = 1", $K$28)),ISNUMBER(SEARCH("objective = 1     Preliminary score = 0", $K$28)),ISNUMBER(SEARCH("objective = 0     Preliminary score = 0", $K$28)),ISNUMBER(SEARCH("Old score = 2          Preliminary score = 1", $K$28)),ISNUMBER(SEARCH("Old score = 2          Preliminary score = 0", $K$28)),ISNUMBER(SEARCH("Old score = 1          Preliminary score = 1", $K$28)),ISNUMBER(SEARCH("score = 1          Preliminary score = 0", $K$28)),ISNUMBER(SEARCH("score = 0          Preliminary score = 0", $K$28)))</formula>
    </cfRule>
  </conditionalFormatting>
  <conditionalFormatting sqref="K29">
    <cfRule type="expression" dxfId="131" priority="35">
      <formula>OR(ISNUMBER(SEARCH("objective = 3     Preliminary score = 3",$K$29)),ISNUMBER(SEARCH("objective = 3     Preliminary score = 2",$K$29)),ISNUMBER(SEARCH("objective = 2     Preliminary score = 3",$K$29)),ISNUMBER(SEARCH("objective = 2     Preliminary score = 2",$K$29)),ISNUMBER(SEARCH("Old score = 3          Preliminary score = 3",$K$29)),ISNUMBER(SEARCH("Old score = 3          Preliminary score = 2",$K$29)),ISNUMBER(SEARCH("Old score = 2          Preliminary score = 3",$K$29)),ISNUMBER(SEARCH("Old score = 2          Preliminary score = 2",$K$29)))</formula>
    </cfRule>
    <cfRule type="expression" dxfId="130" priority="66">
      <formula>OR(ISNUMBER(SEARCH("objective = 3     Preliminary score = 1", $K$29)),ISNUMBER(SEARCH("objective = 3     Preliminary score = 0", $K$29)),ISNUMBER(SEARCH("objective = 1     Preliminary score = 2", $K$29)),ISNUMBER(SEARCH("objective = 1     Preliminary score = 3", $K$29)),ISNUMBER(SEARCH("objective = 0     Preliminary score = 1", $K$29)),ISNUMBER(SEARCH("objective = 0     Preliminary score = 2", $K$29)),ISNUMBER(SEARCH("objective = 0     Preliminary score = 3", $K$29)),ISNUMBER(SEARCH("Old score = 3          Preliminary score = 1", $K$29)),ISNUMBER(SEARCH("Old score = 3          Preliminary score = 0", $K$29)),ISNUMBER(SEARCH("Old score = 1          Preliminary score = 2", $K$29)),ISNUMBER(SEARCH("Old score = 1          Preliminary score = 3", $K$29)),ISNUMBER(SEARCH("Old score = 0          Preliminary score = 1", $K$29)),ISNUMBER(SEARCH("Old score = 0          Preliminary score = 2", $K$29)),ISNUMBER(SEARCH("Old score = 0          Preliminary score = 3", $K$29)))</formula>
    </cfRule>
    <cfRule type="expression" dxfId="129" priority="99">
      <formula>OR(ISNUMBER(SEARCH("objective = 2     Preliminary score = 1", $K$29)),ISNUMBER(SEARCH("objective = 2     Preliminary score = 0", $K$29)),ISNUMBER(SEARCH("objective = 1     Preliminary score = 1", $K$29)),ISNUMBER(SEARCH("objective = 1     Preliminary score = 0", $K$29)),ISNUMBER(SEARCH("objective = 0     Preliminary score = 0", $K$29)),ISNUMBER(SEARCH("Old score = 2          Preliminary score = 1", $K$29)),ISNUMBER(SEARCH("Old score = 2          Preliminary score = 0", $K$29)),ISNUMBER(SEARCH("Old score = 1          Preliminary score = 1", $K$29)),ISNUMBER(SEARCH("score = 1          Preliminary score = 0", $K$29)),ISNUMBER(SEARCH("score = 0          Preliminary score = 0", $K$29)))</formula>
    </cfRule>
  </conditionalFormatting>
  <conditionalFormatting sqref="K32">
    <cfRule type="expression" dxfId="128" priority="32">
      <formula>OR(ISNUMBER(SEARCH("objective = 3     Preliminary score = 3",$K$32)),ISNUMBER(SEARCH("objective = 3     Preliminary score = 2",$K$32)),ISNUMBER(SEARCH("objective = 2     Preliminary score = 3",$K$32)),ISNUMBER(SEARCH("objective = 2     Preliminary score = 2",$K$32)),ISNUMBER(SEARCH("Old score = 3          Preliminary score = 3",$K$32)),ISNUMBER(SEARCH("Old score = 3          Preliminary score = 2",$K$32)),ISNUMBER(SEARCH("Old score = 2          Preliminary score = 3",$K$32)),ISNUMBER(SEARCH("Old score = 2          Preliminary score = 2",$K$32)))</formula>
    </cfRule>
    <cfRule type="expression" dxfId="127" priority="63">
      <formula>OR(ISNUMBER(SEARCH("objective = 3     Preliminary score = 1", $K$32)),ISNUMBER(SEARCH("objective = 3     Preliminary score = 0", $K$32)),ISNUMBER(SEARCH("objective = 1     Preliminary score = 2", $K$32)),ISNUMBER(SEARCH("objective = 1     Preliminary score = 3", $K$32)),ISNUMBER(SEARCH("objective = 0     Preliminary score = 1", $K$32)),ISNUMBER(SEARCH("objective = 0     Preliminary score = 2", $K$32)),ISNUMBER(SEARCH("objective = 0     Preliminary score = 3", $K$32)),ISNUMBER(SEARCH("Old score = 3          Preliminary score = 1", $K$32)),ISNUMBER(SEARCH("Old score = 3          Preliminary score = 0", $K$32)),ISNUMBER(SEARCH("Old score = 1          Preliminary score = 2", $K$32)),ISNUMBER(SEARCH("Old score = 1          Preliminary score = 3", $K$32)),ISNUMBER(SEARCH("Old score = 0          Preliminary score = 1", $K$32)),ISNUMBER(SEARCH("Old score = 0          Preliminary score = 2", $K$32)),ISNUMBER(SEARCH("Old score = 0          Preliminary score = 3", $K$32)))</formula>
    </cfRule>
    <cfRule type="expression" dxfId="126" priority="94">
      <formula>OR(ISNUMBER(SEARCH("objective = 2     Preliminary score = 1", $K$32)),ISNUMBER(SEARCH("objective = 2     Preliminary score = 0", $K$32)),ISNUMBER(SEARCH("objective = 1     Preliminary score = 1", $K$32)),ISNUMBER(SEARCH("objective = 1     Preliminary score = 0", $K$32)),ISNUMBER(SEARCH("objective = 0     Preliminary score = 0", $K$32)),ISNUMBER(SEARCH("Old score = 2          Preliminary score = 1", $K$32)),ISNUMBER(SEARCH("Old score = 2          Preliminary score = 0", $K$32)),ISNUMBER(SEARCH("Old score = 1          Preliminary score = 1", $K$32)),ISNUMBER(SEARCH("score = 1          Preliminary score = 0", $K$32)),ISNUMBER(SEARCH("score = 0          Preliminary score = 0", $K$32)))</formula>
    </cfRule>
  </conditionalFormatting>
  <conditionalFormatting sqref="K33">
    <cfRule type="expression" dxfId="125" priority="31">
      <formula>OR(ISNUMBER(SEARCH("objective = 3     Preliminary score = 3",$K$33)),ISNUMBER(SEARCH("objective = 3     Preliminary score = 2",$K$33)),ISNUMBER(SEARCH("objective = 2     Preliminary score = 3",$K$33)),ISNUMBER(SEARCH("objective = 2     Preliminary score = 2",$K$33)),ISNUMBER(SEARCH("Old score = 3          Preliminary score = 3",$K$33)),ISNUMBER(SEARCH("Old score = 3          Preliminary score = 2",$K$33)),ISNUMBER(SEARCH("Old score = 2          Preliminary score = 3",$K$33)),ISNUMBER(SEARCH("Old score = 2          Preliminary score = 2",$K$33)))</formula>
    </cfRule>
    <cfRule type="expression" dxfId="124" priority="62">
      <formula>OR(ISNUMBER(SEARCH("objective = 3     Preliminary score = 1", $K$33)),ISNUMBER(SEARCH("objective = 3     Preliminary score = 0", $K$33)),ISNUMBER(SEARCH("objective = 1     Preliminary score = 2", $K$33)),ISNUMBER(SEARCH("objective = 1     Preliminary score = 3", $K$33)),ISNUMBER(SEARCH("objective = 0     Preliminary score = 1", $K$33)),ISNUMBER(SEARCH("objective = 0     Preliminary score = 2", $K$33)),ISNUMBER(SEARCH("objective = 0     Preliminary score = 3", $K$33)),ISNUMBER(SEARCH("Old score = 3          Preliminary score = 1", $K$33)),ISNUMBER(SEARCH("Old score = 3          Preliminary score = 0", $K$33)),ISNUMBER(SEARCH("Old score = 1          Preliminary score = 2", $K$33)),ISNUMBER(SEARCH("Old score = 1          Preliminary score = 3", $K$33)),ISNUMBER(SEARCH("Old score = 0          Preliminary score = 1", $K$33)),ISNUMBER(SEARCH("Old score = 0          Preliminary score = 2", $K$33)),ISNUMBER(SEARCH("Old score = 0          Preliminary score = 3", $K$33)))</formula>
    </cfRule>
    <cfRule type="expression" dxfId="123" priority="93">
      <formula>OR(ISNUMBER(SEARCH("objective = 2     Preliminary score = 1", $K$33)),ISNUMBER(SEARCH("objective = 2     Preliminary score = 0", $K$33)),ISNUMBER(SEARCH("objective = 1     Preliminary score = 1", $K$33)),ISNUMBER(SEARCH("objective = 1     Preliminary score = 0", $K$33)),ISNUMBER(SEARCH("objective = 0     Preliminary score = 0", $K$33)),ISNUMBER(SEARCH("Old score = 2          Preliminary score = 1", $K$33)),ISNUMBER(SEARCH("Old score = 2          Preliminary score = 0", $K$33)),ISNUMBER(SEARCH("Old score = 1          Preliminary score = 1", $K$33)),ISNUMBER(SEARCH("score = 1          Preliminary score = 0", $K$33)),ISNUMBER(SEARCH("score = 0          Preliminary score = 0", $K$33)))</formula>
    </cfRule>
  </conditionalFormatting>
  <conditionalFormatting sqref="K38">
    <cfRule type="expression" dxfId="122" priority="26">
      <formula>OR(ISNUMBER(SEARCH("objective = 3     Preliminary score = 3",$K$38)),ISNUMBER(SEARCH("objective = 3     Preliminary score = 2",$K$38)),ISNUMBER(SEARCH("objective = 2     Preliminary score = 3",$K$38)),ISNUMBER(SEARCH("objective = 2     Preliminary score = 2",$K$38)),ISNUMBER(SEARCH("Old score = 3          Preliminary score = 3",$K$38)),ISNUMBER(SEARCH("Old score = 3          Preliminary score = 2",$K$38)),ISNUMBER(SEARCH("Old score = 2          Preliminary score = 3",$K$38)),ISNUMBER(SEARCH("Old score = 2          Preliminary score = 2",$K$38)))</formula>
    </cfRule>
    <cfRule type="expression" dxfId="121" priority="57">
      <formula>OR(ISNUMBER(SEARCH("objective = 3     Preliminary score = 1", $K$38)),ISNUMBER(SEARCH("objective = 3     Preliminary score = 0", $K$38)),ISNUMBER(SEARCH("objective = 1     Preliminary score = 2", $K$38)),ISNUMBER(SEARCH("objective = 1     Preliminary score = 3", $K$38)),ISNUMBER(SEARCH("objective = 0     Preliminary score = 1", $K$38)),ISNUMBER(SEARCH("objective = 0     Preliminary score = 2", $K$38)),ISNUMBER(SEARCH("objective = 0     Preliminary score = 3", $K$38)),ISNUMBER(SEARCH("Old score = 3          Preliminary score = 1", $K$38)),ISNUMBER(SEARCH("Old score = 3          Preliminary score = 0", $K$38)),ISNUMBER(SEARCH("Old score = 1          Preliminary score = 2", $K$38)),ISNUMBER(SEARCH("Old score = 1          Preliminary score = 3", $K$38)),ISNUMBER(SEARCH("Old score = 0          Preliminary score = 1", $K$38)),ISNUMBER(SEARCH("Old score = 0          Preliminary score = 2", $K$38)),ISNUMBER(SEARCH("Old score = 0          Preliminary score = 3", $K$38)))</formula>
    </cfRule>
    <cfRule type="expression" dxfId="120" priority="88">
      <formula>OR(ISNUMBER(SEARCH("objective = 2     Preliminary score = 1", $K$38)),ISNUMBER(SEARCH("objective = 2     Preliminary score = 0", $K$38)),ISNUMBER(SEARCH("objective = 1     Preliminary score = 1", $K$38)),ISNUMBER(SEARCH("objective = 1     Preliminary score = 0", $K$38)),ISNUMBER(SEARCH("objective = 0     Preliminary score = 0", $K$38)),ISNUMBER(SEARCH("Old score = 2          Preliminary score = 1", $K$38)),ISNUMBER(SEARCH("Old score = 2          Preliminary score = 0", $K$38)),ISNUMBER(SEARCH("Old score = 1          Preliminary score = 1", $K$38)),ISNUMBER(SEARCH("score = 1          Preliminary score = 0", $K$38)),ISNUMBER(SEARCH("score = 0          Preliminary score = 0", $K$38)))</formula>
    </cfRule>
  </conditionalFormatting>
  <conditionalFormatting sqref="K40">
    <cfRule type="expression" dxfId="119" priority="24">
      <formula>OR(ISNUMBER(SEARCH("objective = 3     Preliminary score = 3",$K$40)),ISNUMBER(SEARCH("objective = 3     Preliminary score = 2",$K$40)),ISNUMBER(SEARCH("objective = 2     Preliminary score = 3",$K$40)),ISNUMBER(SEARCH("objective = 2     Preliminary score = 2",$K$40)),ISNUMBER(SEARCH("Old score = 3          Preliminary score = 3",$K$40)),ISNUMBER(SEARCH("Old score = 3          Preliminary score = 2",$K$40)),ISNUMBER(SEARCH("Old score = 2          Preliminary score = 3",$K$40)),ISNUMBER(SEARCH("Old score = 2          Preliminary score = 2",$K$40)))</formula>
    </cfRule>
    <cfRule type="expression" dxfId="118" priority="55">
      <formula>OR(ISNUMBER(SEARCH("objective = 3     Preliminary score = 1", $K$40)),ISNUMBER(SEARCH("objective = 3     Preliminary score = 0", $K$40)),ISNUMBER(SEARCH("objective = 1     Preliminary score = 2", $K$40)),ISNUMBER(SEARCH("objective = 1     Preliminary score = 3", $K$40)),ISNUMBER(SEARCH("objective = 0     Preliminary score = 1", $K$40)),ISNUMBER(SEARCH("objective = 0     Preliminary score = 2", $K$40)),ISNUMBER(SEARCH("objective = 0     Preliminary score = 3", $K$40)),ISNUMBER(SEARCH("Old score = 3          Preliminary score = 1", $K$40)),ISNUMBER(SEARCH("Old score = 3          Preliminary score = 0", $K$40)),ISNUMBER(SEARCH("Old score = 1          Preliminary score = 2", $K$40)),ISNUMBER(SEARCH("Old score = 1          Preliminary score = 3", $K$40)),ISNUMBER(SEARCH("Old score = 0          Preliminary score = 1", $K$40)),ISNUMBER(SEARCH("Old score = 0          Preliminary score = 2", $K$40)),ISNUMBER(SEARCH("Old score = 0          Preliminary score = 3", $K$40)))</formula>
    </cfRule>
    <cfRule type="expression" dxfId="117" priority="86">
      <formula>OR(ISNUMBER(SEARCH("objective = 2     Preliminary score = 1", $K$40)),ISNUMBER(SEARCH("objective = 2     Preliminary score = 0", $K$40)),ISNUMBER(SEARCH("objective = 1     Preliminary score = 1", $K$40)),ISNUMBER(SEARCH("objective = 1     Preliminary score = 0", $K$40)),ISNUMBER(SEARCH("objective = 0     Preliminary score = 0", $K$40)),ISNUMBER(SEARCH("Old score = 2          Preliminary score = 1", $K$40)),ISNUMBER(SEARCH("Old score = 2          Preliminary score = 0", $K$40)),ISNUMBER(SEARCH("Old score = 1          Preliminary score = 1", $K$40)),ISNUMBER(SEARCH("score = 1          Preliminary score = 0", $K$40)),ISNUMBER(SEARCH("score = 0          Preliminary score = 0", $K$40)))</formula>
    </cfRule>
  </conditionalFormatting>
  <conditionalFormatting sqref="K41">
    <cfRule type="expression" dxfId="116" priority="23">
      <formula>OR(ISNUMBER(SEARCH("objective = 3     Preliminary score = 3",$K$41)),ISNUMBER(SEARCH("objective = 3     Preliminary score = 2",$K$41)),ISNUMBER(SEARCH("objective = 2     Preliminary score = 3",$K$41)),ISNUMBER(SEARCH("objective = 2     Preliminary score = 2",$K$41)),ISNUMBER(SEARCH("Old score = 3          Preliminary score = 3",$K$41)),ISNUMBER(SEARCH("Old score = 3          Preliminary score = 2",$K$41)),ISNUMBER(SEARCH("Old score = 2          Preliminary score = 3",$K$41)),ISNUMBER(SEARCH("Old score = 2          Preliminary score = 2",$K$41)))</formula>
    </cfRule>
    <cfRule type="expression" dxfId="115" priority="54">
      <formula>OR(ISNUMBER(SEARCH("objective = 3     Preliminary score = 1", $K$41)),ISNUMBER(SEARCH("objective = 3     Preliminary score = 0", $K$41)),ISNUMBER(SEARCH("objective = 1     Preliminary score = 2", $K$41)),ISNUMBER(SEARCH("objective = 1     Preliminary score = 3", $K$41)),ISNUMBER(SEARCH("objective = 0     Preliminary score = 1", $K$41)),ISNUMBER(SEARCH("objective = 0     Preliminary score = 2", $K$41)),ISNUMBER(SEARCH("objective = 0     Preliminary score = 3", $K$41)),ISNUMBER(SEARCH("Old score = 3          Preliminary score = 1", $K$41)),ISNUMBER(SEARCH("Old score = 3          Preliminary score = 0", $K$41)),ISNUMBER(SEARCH("Old score = 1          Preliminary score = 2", $K$41)),ISNUMBER(SEARCH("Old score = 1          Preliminary score = 3", $K$41)),ISNUMBER(SEARCH("Old score = 0          Preliminary score = 1", $K$41)),ISNUMBER(SEARCH("Old score = 0          Preliminary score = 2", $K$41)),ISNUMBER(SEARCH("Old score = 0          Preliminary score = 3", $K$41)))</formula>
    </cfRule>
    <cfRule type="expression" dxfId="114" priority="85">
      <formula>OR(ISNUMBER(SEARCH("objective = 2     Preliminary score = 1", $K$41)),ISNUMBER(SEARCH("objective = 2     Preliminary score = 0", $K$41)),ISNUMBER(SEARCH("objective = 1     Preliminary score = 1", $K$41)),ISNUMBER(SEARCH("objective = 1     Preliminary score = 0", $K$41)),ISNUMBER(SEARCH("objective = 0     Preliminary score = 0", $K$41)),ISNUMBER(SEARCH("Old score = 2          Preliminary score = 1", $K$41)),ISNUMBER(SEARCH("Old score = 2          Preliminary score = 0", $K$41)),ISNUMBER(SEARCH("Old score = 1          Preliminary score = 1", $K$41)),ISNUMBER(SEARCH("score = 1          Preliminary score = 0", $K$41)),ISNUMBER(SEARCH("score = 0          Preliminary score = 0", $K$41)))</formula>
    </cfRule>
  </conditionalFormatting>
  <conditionalFormatting sqref="K42">
    <cfRule type="expression" dxfId="113" priority="22">
      <formula>OR(ISNUMBER(SEARCH("objective = 3     Preliminary score = 3",$K$42)),ISNUMBER(SEARCH("objective = 3     Preliminary score = 2",$K$42)),ISNUMBER(SEARCH("objective = 2     Preliminary score = 3",$K$42)),ISNUMBER(SEARCH("objective = 2     Preliminary score = 2",$K$42)),ISNUMBER(SEARCH("Old score = 3          Preliminary score = 3",$K$42)),ISNUMBER(SEARCH("Old score = 3          Preliminary score = 2",$K$42)),ISNUMBER(SEARCH("Old score = 2          Preliminary score = 3",$K$42)),ISNUMBER(SEARCH("Old score = 2          Preliminary score = 2",$K$42)))</formula>
    </cfRule>
    <cfRule type="expression" dxfId="112" priority="53">
      <formula>OR(ISNUMBER(SEARCH("objective = 3     Preliminary score = 1", $K$42)),ISNUMBER(SEARCH("objective = 3     Preliminary score = 0", $K$42)),ISNUMBER(SEARCH("objective = 1     Preliminary score = 2", $K$42)),ISNUMBER(SEARCH("objective = 1     Preliminary score = 3", $K$42)),ISNUMBER(SEARCH("objective = 0     Preliminary score = 1", $K$42)),ISNUMBER(SEARCH("objective = 0     Preliminary score = 2", $K$42)),ISNUMBER(SEARCH("objective = 0     Preliminary score = 3", $K$42)),ISNUMBER(SEARCH("Old score = 3          Preliminary score = 1", $K$42)),ISNUMBER(SEARCH("Old score = 3          Preliminary score = 0", $K$42)),ISNUMBER(SEARCH("Old score = 1          Preliminary score = 2", $K$42)),ISNUMBER(SEARCH("Old score = 1          Preliminary score = 3", $K$42)),ISNUMBER(SEARCH("Old score = 0          Preliminary score = 1", $K$42)),ISNUMBER(SEARCH("Old score = 0          Preliminary score = 2", $K$42)),ISNUMBER(SEARCH("Old score = 0          Preliminary score = 3", $K$42)))</formula>
    </cfRule>
    <cfRule type="expression" dxfId="111" priority="84">
      <formula>OR(ISNUMBER(SEARCH("objective = 2     Preliminary score = 1", $K$42)),ISNUMBER(SEARCH("objective = 2     Preliminary score = 0", $K$42)),ISNUMBER(SEARCH("objective = 1     Preliminary score = 1", $K$42)),ISNUMBER(SEARCH("objective = 1     Preliminary score = 0", $K$42)),ISNUMBER(SEARCH("objective = 0     Preliminary score = 0", $K$42)),ISNUMBER(SEARCH("Old score = 2          Preliminary score = 1", $K$42)),ISNUMBER(SEARCH("Old score = 2          Preliminary score = 0", $K$42)),ISNUMBER(SEARCH("Old score = 1          Preliminary score = 1", $K$42)),ISNUMBER(SEARCH("score = 1          Preliminary score = 0", $K$42)),ISNUMBER(SEARCH("score = 0          Preliminary score = 0", $K$42)))</formula>
    </cfRule>
  </conditionalFormatting>
  <conditionalFormatting sqref="K44">
    <cfRule type="expression" dxfId="110" priority="20">
      <formula>OR(ISNUMBER(SEARCH("objective = 3     Preliminary score = 3",$K$44)),ISNUMBER(SEARCH("objective = 3     Preliminary score = 2",$K$44)),ISNUMBER(SEARCH("objective = 2     Preliminary score = 3",$K$44)),ISNUMBER(SEARCH("objective = 2     Preliminary score = 2",$K$44)),ISNUMBER(SEARCH("Old score = 3          Preliminary score = 3",$K$44)),ISNUMBER(SEARCH("Old score = 3          Preliminary score = 2",$K$44)),ISNUMBER(SEARCH("Old score = 2          Preliminary score = 3",$K$44)),ISNUMBER(SEARCH("Old score = 2          Preliminary score = 2",$K$44)))</formula>
    </cfRule>
    <cfRule type="expression" dxfId="109" priority="51">
      <formula>OR(ISNUMBER(SEARCH("objective = 3     Preliminary score = 1", $K$44)),ISNUMBER(SEARCH("objective = 3     Preliminary score = 0", $K$44)),ISNUMBER(SEARCH("objective = 1     Preliminary score = 2", $K$44)),ISNUMBER(SEARCH("objective = 1     Preliminary score = 3", $K$44)),ISNUMBER(SEARCH("objective = 0     Preliminary score = 1", $K$44)),ISNUMBER(SEARCH("objective = 0     Preliminary score = 2", $K$44)),ISNUMBER(SEARCH("objective = 0     Preliminary score = 3", $K$44)),ISNUMBER(SEARCH("Old score = 3          Preliminary score = 1", $K$44)),ISNUMBER(SEARCH("Old score = 3          Preliminary score = 0", $K$44)),ISNUMBER(SEARCH("Old score = 1          Preliminary score = 2", $K$44)),ISNUMBER(SEARCH("Old score = 1          Preliminary score = 3", $K$44)),ISNUMBER(SEARCH("Old score = 0          Preliminary score = 1", $K$44)),ISNUMBER(SEARCH("Old score = 0          Preliminary score = 2", $K$44)),ISNUMBER(SEARCH("Old score = 0          Preliminary score = 3", $K$44)))</formula>
    </cfRule>
    <cfRule type="expression" dxfId="108" priority="82">
      <formula>OR(ISNUMBER(SEARCH("objective = 2     Preliminary score = 1", $K$44)),ISNUMBER(SEARCH("objective = 2     Preliminary score = 0", $K$44)),ISNUMBER(SEARCH("objective = 1     Preliminary score = 1", $K$44)),ISNUMBER(SEARCH("objective = 1     Preliminary score = 0", $K$44)),ISNUMBER(SEARCH("objective = 0     Preliminary score = 0", $K$44)),ISNUMBER(SEARCH("Old score = 2          Preliminary score = 1", $K$44)),ISNUMBER(SEARCH("Old score = 2          Preliminary score = 0", $K$44)),ISNUMBER(SEARCH("Old score = 1          Preliminary score = 1", $K$44)),ISNUMBER(SEARCH("score = 1          Preliminary score = 0", $K$44)),ISNUMBER(SEARCH("score = 0          Preliminary score = 0", $K$44)))</formula>
    </cfRule>
  </conditionalFormatting>
  <conditionalFormatting sqref="K45">
    <cfRule type="expression" dxfId="107" priority="19">
      <formula>OR(ISNUMBER(SEARCH("objective = 3     Preliminary score = 3",$K$45)),ISNUMBER(SEARCH("objective = 3     Preliminary score = 2",$K$45)),ISNUMBER(SEARCH("objective = 2     Preliminary score = 3",$K$45)),ISNUMBER(SEARCH("objective = 2     Preliminary score = 2",$K$45)),ISNUMBER(SEARCH("Old score = 3          Preliminary score = 3",$K$45)),ISNUMBER(SEARCH("Old score = 3          Preliminary score = 2",$K$45)),ISNUMBER(SEARCH("Old score = 2          Preliminary score = 3",$K$45)),ISNUMBER(SEARCH("Old score = 2          Preliminary score = 2",$K$45)))</formula>
    </cfRule>
    <cfRule type="expression" dxfId="106" priority="50">
      <formula>OR(ISNUMBER(SEARCH("objective = 3     Preliminary score = 1", $K$45)),ISNUMBER(SEARCH("objective = 3     Preliminary score = 0", $K$45)),ISNUMBER(SEARCH("objective = 1     Preliminary score = 2", $K$45)),ISNUMBER(SEARCH("objective = 1     Preliminary score = 3", $K$45)),ISNUMBER(SEARCH("objective = 0     Preliminary score = 1", $K$45)),ISNUMBER(SEARCH("objective = 0     Preliminary score = 2", $K$45)),ISNUMBER(SEARCH("objective = 0     Preliminary score = 3", $K$45)),ISNUMBER(SEARCH("Old score = 3          Preliminary score = 1", $K$45)),ISNUMBER(SEARCH("Old score = 3          Preliminary score = 0", $K$45)),ISNUMBER(SEARCH("Old score = 1          Preliminary score = 2", $K$45)),ISNUMBER(SEARCH("Old score = 1          Preliminary score = 3", $K$45)),ISNUMBER(SEARCH("Old score = 0          Preliminary score = 1", $K$45)),ISNUMBER(SEARCH("Old score = 0          Preliminary score = 2", $K$45)),ISNUMBER(SEARCH("Old score = 0          Preliminary score = 3", $K$45)))</formula>
    </cfRule>
    <cfRule type="expression" dxfId="105" priority="81">
      <formula>OR(ISNUMBER(SEARCH("objective = 2     Preliminary score = 1", $K$45)),ISNUMBER(SEARCH("objective = 2     Preliminary score = 0", $K$45)),ISNUMBER(SEARCH("objective = 1     Preliminary score = 1", $K$45)),ISNUMBER(SEARCH("objective = 1     Preliminary score = 0", $K$45)),ISNUMBER(SEARCH("objective = 0     Preliminary score = 0", $K$45)),ISNUMBER(SEARCH("Old score = 2          Preliminary score = 1", $K$45)),ISNUMBER(SEARCH("Old score = 2          Preliminary score = 0", $K$45)),ISNUMBER(SEARCH("Old score = 1          Preliminary score = 1", $K$45)),ISNUMBER(SEARCH("score = 1          Preliminary score = 0", $K$45)),ISNUMBER(SEARCH("score = 0          Preliminary score = 0", $K$45)))</formula>
    </cfRule>
  </conditionalFormatting>
  <conditionalFormatting sqref="K46">
    <cfRule type="expression" dxfId="104" priority="18">
      <formula>OR(ISNUMBER(SEARCH("objective = 3     Preliminary score = 3",$K$46)),ISNUMBER(SEARCH("objective = 3     Preliminary score = 2",$K$46)),ISNUMBER(SEARCH("objective = 2     Preliminary score = 3",$K$46)),ISNUMBER(SEARCH("objective = 2     Preliminary score = 2",$K$46)),ISNUMBER(SEARCH("Old score = 3          Preliminary score = 3",$K$46)),ISNUMBER(SEARCH("Old score = 3          Preliminary score = 2",$K$46)),ISNUMBER(SEARCH("Old score = 2          Preliminary score = 3",$K$46)),ISNUMBER(SEARCH("Old score = 2          Preliminary score = 2",$K$46)))</formula>
    </cfRule>
    <cfRule type="expression" dxfId="103" priority="49">
      <formula>OR(ISNUMBER(SEARCH("objective = 3     Preliminary score = 1", $K$46)),ISNUMBER(SEARCH("objective = 3     Preliminary score = 0", $K$46)),ISNUMBER(SEARCH("objective = 1     Preliminary score = 2", $K$46)),ISNUMBER(SEARCH("objective = 1     Preliminary score = 3", $K$46)),ISNUMBER(SEARCH("objective = 0     Preliminary score = 1", $K$46)),ISNUMBER(SEARCH("objective = 0     Preliminary score = 2", $K$46)),ISNUMBER(SEARCH("objective = 0     Preliminary score = 3", $K$46)),ISNUMBER(SEARCH("Old score = 3          Preliminary score = 1", $K$46)),ISNUMBER(SEARCH("Old score = 3          Preliminary score = 0", $K$46)),ISNUMBER(SEARCH("Old score = 1          Preliminary score = 2", $K$46)),ISNUMBER(SEARCH("Old score = 1          Preliminary score = 3", $K$46)),ISNUMBER(SEARCH("Old score = 0          Preliminary score = 1", $K$46)),ISNUMBER(SEARCH("Old score = 0          Preliminary score = 2", $K$46)),ISNUMBER(SEARCH("Old score = 0          Preliminary score = 3", $K$46)))</formula>
    </cfRule>
    <cfRule type="expression" dxfId="102" priority="80">
      <formula>OR(ISNUMBER(SEARCH("objective = 2     Preliminary score = 1", $K$46)),ISNUMBER(SEARCH("objective = 2     Preliminary score = 0", $K$46)),ISNUMBER(SEARCH("objective = 1     Preliminary score = 1", $K$46)),ISNUMBER(SEARCH("objective = 1     Preliminary score = 0", $K$46)),ISNUMBER(SEARCH("objective = 0     Preliminary score = 0", $K$46)),ISNUMBER(SEARCH("Old score = 2          Preliminary score = 1", $K$46)),ISNUMBER(SEARCH("Old score = 2          Preliminary score = 0", $K$46)),ISNUMBER(SEARCH("Old score = 1          Preliminary score = 1", $K$46)),ISNUMBER(SEARCH("score = 1          Preliminary score = 0", $K$46)),ISNUMBER(SEARCH("score = 0          Preliminary score = 0", $K$46)))</formula>
    </cfRule>
  </conditionalFormatting>
  <conditionalFormatting sqref="K47">
    <cfRule type="expression" dxfId="101" priority="17">
      <formula>OR(ISNUMBER(SEARCH("objective = 3     Preliminary score = 3",$K$47)),ISNUMBER(SEARCH("objective = 3     Preliminary score = 2",$K$47)),ISNUMBER(SEARCH("objective = 2     Preliminary score = 3",$K$47)),ISNUMBER(SEARCH("objective = 2     Preliminary score = 2",$K$47)),ISNUMBER(SEARCH("Old score = 3          Preliminary score = 3",$K$47)),ISNUMBER(SEARCH("Old score = 3          Preliminary score = 2",$K$47)),ISNUMBER(SEARCH("Old score = 2          Preliminary score = 3",$K$47)),ISNUMBER(SEARCH("Old score = 2          Preliminary score = 2",$K$47)))</formula>
    </cfRule>
    <cfRule type="expression" dxfId="100" priority="48">
      <formula>OR(ISNUMBER(SEARCH("objective = 3     Preliminary score = 1", $K$47)),ISNUMBER(SEARCH("objective = 3     Preliminary score = 0", $K$47)),ISNUMBER(SEARCH("objective = 1     Preliminary score = 2", $K$47)),ISNUMBER(SEARCH("objective = 1     Preliminary score = 3", $K$47)),ISNUMBER(SEARCH("objective = 0     Preliminary score = 1", $K$47)),ISNUMBER(SEARCH("objective = 0     Preliminary score = 2", $K$47)),ISNUMBER(SEARCH("objective = 0     Preliminary score = 3", $K$47)),ISNUMBER(SEARCH("Old score = 3          Preliminary score = 1", $K$47)),ISNUMBER(SEARCH("Old score = 3          Preliminary score = 0", $K$47)),ISNUMBER(SEARCH("Old score = 1          Preliminary score = 2", $K$47)),ISNUMBER(SEARCH("Old score = 1          Preliminary score = 3", $K$47)),ISNUMBER(SEARCH("Old score = 0          Preliminary score = 1", $K$47)),ISNUMBER(SEARCH("Old score = 0          Preliminary score = 2", $K$47)),ISNUMBER(SEARCH("Old score = 0          Preliminary score = 3", $K$47)))</formula>
    </cfRule>
    <cfRule type="expression" dxfId="99" priority="79">
      <formula>OR(ISNUMBER(SEARCH("objective = 2     Preliminary score = 1", $K$47)),ISNUMBER(SEARCH("objective = 2     Preliminary score = 0", $K$47)),ISNUMBER(SEARCH("objective = 1     Preliminary score = 1", $K$47)),ISNUMBER(SEARCH("objective = 1     Preliminary score = 0", $K$47)),ISNUMBER(SEARCH("objective = 0     Preliminary score = 0", $K$47)),ISNUMBER(SEARCH("Old score = 2          Preliminary score = 1", $K$47)),ISNUMBER(SEARCH("Old score = 2          Preliminary score = 0", $K$47)),ISNUMBER(SEARCH("Old score = 1          Preliminary score = 1", $K$47)),ISNUMBER(SEARCH("score = 1          Preliminary score = 0", $K$47)),ISNUMBER(SEARCH("score = 0          Preliminary score = 0", $K$47)))</formula>
    </cfRule>
  </conditionalFormatting>
  <conditionalFormatting sqref="K50">
    <cfRule type="expression" dxfId="98" priority="14">
      <formula>OR(ISNUMBER(SEARCH("objective = 3     Preliminary score = 3",$K$50)),ISNUMBER(SEARCH("objective = 3     Preliminary score = 2",$K$50)),ISNUMBER(SEARCH("objective = 2     Preliminary score = 3",$K$50)),ISNUMBER(SEARCH("objective = 2     Preliminary score = 2",$K$50)),ISNUMBER(SEARCH("Old score = 3          Preliminary score = 3",$K$50)),ISNUMBER(SEARCH("Old score = 3          Preliminary score = 2",$K$50)),ISNUMBER(SEARCH("Old score = 2          Preliminary score = 3",$K$50)),ISNUMBER(SEARCH("Old score = 2          Preliminary score = 2",$K$50)))</formula>
    </cfRule>
    <cfRule type="expression" dxfId="97" priority="45">
      <formula>OR(ISNUMBER(SEARCH("objective = 3     Preliminary score = 1", $K$50)),ISNUMBER(SEARCH("objective = 3     Preliminary score = 0", $K$50)),ISNUMBER(SEARCH("objective = 1     Preliminary score = 2", $K$50)),ISNUMBER(SEARCH("objective = 1     Preliminary score = 3", $K$50)),ISNUMBER(SEARCH("objective = 0     Preliminary score = 1", $K$50)),ISNUMBER(SEARCH("objective = 0     Preliminary score = 2", $K$50)),ISNUMBER(SEARCH("objective = 0     Preliminary score = 3", $K$50)),ISNUMBER(SEARCH("Old score = 3          Preliminary score = 1", $K$50)),ISNUMBER(SEARCH("Old score = 3          Preliminary score = 0", $K$50)),ISNUMBER(SEARCH("Old score = 1          Preliminary score = 2", $K$50)),ISNUMBER(SEARCH("Old score = 1          Preliminary score = 3", $K$50)),ISNUMBER(SEARCH("Old score = 0          Preliminary score = 1", $K$50)),ISNUMBER(SEARCH("Old score = 0          Preliminary score = 2", $K$50)),ISNUMBER(SEARCH("Old score = 0          Preliminary score = 3", $K$50)))</formula>
    </cfRule>
    <cfRule type="expression" dxfId="96" priority="76">
      <formula>OR(ISNUMBER(SEARCH("objective = 2     Preliminary score = 1", $K$50)),ISNUMBER(SEARCH("objective = 2     Preliminary score = 0", $K$50)),ISNUMBER(SEARCH("objective = 1     Preliminary score = 1", $K$50)),ISNUMBER(SEARCH("objective = 1     Preliminary score = 0", $K$50)),ISNUMBER(SEARCH("objective = 0     Preliminary score = 0", $K$50)),ISNUMBER(SEARCH("Old score = 2          Preliminary score = 1", $K$50)),ISNUMBER(SEARCH("Old score = 2          Preliminary score = 0", $K$50)),ISNUMBER(SEARCH("Old score = 1          Preliminary score = 1", $K$50)),ISNUMBER(SEARCH("score = 1          Preliminary score = 0", $K$50)),ISNUMBER(SEARCH("score = 0          Preliminary score = 0", $K$50)))</formula>
    </cfRule>
  </conditionalFormatting>
  <conditionalFormatting sqref="K51">
    <cfRule type="expression" dxfId="95" priority="13">
      <formula>OR(ISNUMBER(SEARCH("objective = 3     Preliminary score = 3",$K$51)),ISNUMBER(SEARCH("objective = 3     Preliminary score = 2",$K$51)),ISNUMBER(SEARCH("objective = 2     Preliminary score = 3",$K$51)),ISNUMBER(SEARCH("objective = 2     Preliminary score = 2",$K$51)),ISNUMBER(SEARCH("Old score = 3          Preliminary score = 3",$K$51)),ISNUMBER(SEARCH("Old score = 3          Preliminary score = 2",$K$51)),ISNUMBER(SEARCH("Old score = 2          Preliminary score = 3",$K$51)),ISNUMBER(SEARCH("Old score = 2          Preliminary score = 2",$K$51)))</formula>
    </cfRule>
    <cfRule type="expression" dxfId="94" priority="44">
      <formula>OR(ISNUMBER(SEARCH("objective = 3     Preliminary score = 1", $K$51)),ISNUMBER(SEARCH("objective = 3     Preliminary score = 0", $K$51)),ISNUMBER(SEARCH("objective = 1     Preliminary score = 2", $K$51)),ISNUMBER(SEARCH("objective = 1     Preliminary score = 3", $K$51)),ISNUMBER(SEARCH("objective = 0     Preliminary score = 1", $K$51)),ISNUMBER(SEARCH("objective = 0     Preliminary score = 2", $K$51)),ISNUMBER(SEARCH("objective = 0     Preliminary score = 3", $K$51)),ISNUMBER(SEARCH("Old score = 3          Preliminary score = 1", $K$51)),ISNUMBER(SEARCH("Old score = 3          Preliminary score = 0", $K$51)),ISNUMBER(SEARCH("Old score = 1          Preliminary score = 2", $K$51)),ISNUMBER(SEARCH("Old score = 1          Preliminary score = 3", $K$51)),ISNUMBER(SEARCH("Old score = 0          Preliminary score = 1", $K$51)),ISNUMBER(SEARCH("Old score = 0          Preliminary score = 2", $K$51)),ISNUMBER(SEARCH("Old score = 0          Preliminary score = 3", $K$51)))</formula>
    </cfRule>
    <cfRule type="expression" dxfId="93" priority="75">
      <formula>OR(ISNUMBER(SEARCH("objective = 2     Preliminary score = 1", $K$51)),ISNUMBER(SEARCH("objective = 2     Preliminary score = 0", $K$51)),ISNUMBER(SEARCH("objective = 1     Preliminary score = 1", $K$51)),ISNUMBER(SEARCH("objective = 1     Preliminary score = 0", $K$51)),ISNUMBER(SEARCH("objective = 0     Preliminary score = 0", $K$51)),ISNUMBER(SEARCH("Old score = 2          Preliminary score = 1", $K$51)),ISNUMBER(SEARCH("Old score = 2          Preliminary score = 0", $K$51)),ISNUMBER(SEARCH("Old score = 1          Preliminary score = 1", $K$51)),ISNUMBER(SEARCH("score = 1          Preliminary score = 0", $K$51)),ISNUMBER(SEARCH("score = 0          Preliminary score = 0", $K$51)))</formula>
    </cfRule>
  </conditionalFormatting>
  <conditionalFormatting sqref="K53">
    <cfRule type="expression" dxfId="92" priority="11">
      <formula>OR(ISNUMBER(SEARCH("objective = 3     Preliminary score = 3",$K$53)),ISNUMBER(SEARCH("objective = 3     Preliminary score = 2",$K$53)),ISNUMBER(SEARCH("objective = 2     Preliminary score = 3",$K$53)),ISNUMBER(SEARCH("objective = 2     Preliminary score = 2",$K$53)),ISNUMBER(SEARCH("Old score = 3          Preliminary score = 3",$K$53)),ISNUMBER(SEARCH("Old score = 3          Preliminary score = 2",$K$53)),ISNUMBER(SEARCH("Old score = 2          Preliminary score = 3",$K$53)),ISNUMBER(SEARCH("Old score = 2          Preliminary score = 2",$K$53)))</formula>
    </cfRule>
    <cfRule type="expression" dxfId="91" priority="42">
      <formula>OR(ISNUMBER(SEARCH("objective = 3     Preliminary score = 1", $K$53)),ISNUMBER(SEARCH("objective = 3     Preliminary score = 0", $K$53)),ISNUMBER(SEARCH("objective = 1     Preliminary score = 2", $K$53)),ISNUMBER(SEARCH("objective = 1     Preliminary score = 3", $K$53)),ISNUMBER(SEARCH("objective = 0     Preliminary score = 1", $K$53)),ISNUMBER(SEARCH("objective = 0     Preliminary score = 2", $K$53)),ISNUMBER(SEARCH("objective = 0     Preliminary score = 3", $K$53)),ISNUMBER(SEARCH("Old score = 3          Preliminary score = 1", $K$53)),ISNUMBER(SEARCH("Old score = 3          Preliminary score = 0", $K$53)),ISNUMBER(SEARCH("Old score = 1          Preliminary score = 2", $K$53)),ISNUMBER(SEARCH("Old score = 1          Preliminary score = 3", $K$53)),ISNUMBER(SEARCH("Old score = 0          Preliminary score = 1", $K$53)),ISNUMBER(SEARCH("Old score = 0          Preliminary score = 2", $K$53)),ISNUMBER(SEARCH("Old score = 0          Preliminary score = 3", $K$53)))</formula>
    </cfRule>
    <cfRule type="expression" dxfId="90" priority="73">
      <formula>OR(ISNUMBER(SEARCH("objective = 2     Preliminary score = 1", $K$53)),ISNUMBER(SEARCH("objective = 2     Preliminary score = 0", $K$53)),ISNUMBER(SEARCH("objective = 1     Preliminary score = 1", $K$53)),ISNUMBER(SEARCH("objective = 1     Preliminary score = 0", $K$53)),ISNUMBER(SEARCH("objective = 0     Preliminary score = 0", $K$53)),ISNUMBER(SEARCH("Old score = 2          Preliminary score = 1", $K$53)),ISNUMBER(SEARCH("Old score = 2          Preliminary score = 0", $K$53)),ISNUMBER(SEARCH("Old score = 1          Preliminary score = 1", $K$53)),ISNUMBER(SEARCH("score = 1          Preliminary score = 0", $K$53)),ISNUMBER(SEARCH("score = 0          Preliminary score = 0", $K$53)))</formula>
    </cfRule>
  </conditionalFormatting>
  <conditionalFormatting sqref="K55">
    <cfRule type="expression" dxfId="89" priority="9">
      <formula>OR(ISNUMBER(SEARCH("objective = 3     Preliminary score = 3",$K$55)),ISNUMBER(SEARCH("objective = 3     Preliminary score = 2",$K$55)),ISNUMBER(SEARCH("objective = 2     Preliminary score = 3",$K$55)),ISNUMBER(SEARCH("objective = 2     Preliminary score = 2",$K$55)),ISNUMBER(SEARCH("Old score = 3          Preliminary score = 3",$K$55)),ISNUMBER(SEARCH("Old score = 3          Preliminary score = 2",$K$55)),ISNUMBER(SEARCH("Old score = 2          Preliminary score = 3",$K$55)),ISNUMBER(SEARCH("Old score = 2          Preliminary score = 2",$K$55)))</formula>
    </cfRule>
    <cfRule type="expression" dxfId="88" priority="40">
      <formula>OR(ISNUMBER(SEARCH("objective = 3     Preliminary score = 1", $K$55)),ISNUMBER(SEARCH("objective = 3     Preliminary score = 0", $K$55)),ISNUMBER(SEARCH("objective = 1     Preliminary score = 2", $K$55)),ISNUMBER(SEARCH("objective = 1     Preliminary score = 3", $K$55)),ISNUMBER(SEARCH("objective = 0     Preliminary score = 1", $K$55)),ISNUMBER(SEARCH("objective = 0     Preliminary score = 2", $K$55)),ISNUMBER(SEARCH("objective = 0     Preliminary score = 3", $K$55)),ISNUMBER(SEARCH("Old score = 3          Preliminary score = 1", $K$55)),ISNUMBER(SEARCH("Old score = 3          Preliminary score = 0", $K$55)),ISNUMBER(SEARCH("Old score = 1          Preliminary score = 2", $K$55)),ISNUMBER(SEARCH("Old score = 1          Preliminary score = 3", $K$55)),ISNUMBER(SEARCH("Old score = 0          Preliminary score = 1", $K$55)),ISNUMBER(SEARCH("Old score = 0          Preliminary score = 2", $K$55)),ISNUMBER(SEARCH("Old score = 0          Preliminary score = 3", $K$55)))</formula>
    </cfRule>
    <cfRule type="expression" dxfId="87" priority="71">
      <formula>OR(ISNUMBER(SEARCH("objective = 2     Preliminary score = 1", $K$55)),ISNUMBER(SEARCH("objective = 2     Preliminary score = 0", $K$55)),ISNUMBER(SEARCH("objective = 1     Preliminary score = 1", $K$55)),ISNUMBER(SEARCH("objective = 1     Preliminary score = 0", $K$55)),ISNUMBER(SEARCH("objective = 0     Preliminary score = 0", $K$55)),ISNUMBER(SEARCH("Old score = 2          Preliminary score = 1", $K$55)),ISNUMBER(SEARCH("Old score = 2          Preliminary score = 0", $K$55)),ISNUMBER(SEARCH("Old score = 1          Preliminary score = 1", $K$55)),ISNUMBER(SEARCH("score = 1          Preliminary score = 0", $K$55)),ISNUMBER(SEARCH("score = 0          Preliminary score = 0", $K$55)))</formula>
    </cfRule>
  </conditionalFormatting>
  <conditionalFormatting sqref="L25:M56">
    <cfRule type="expression" dxfId="86" priority="3">
      <formula>OR($F$7="Performance Framework", $F$7="Reviewer / Coordinating Mechanism")</formula>
    </cfRule>
  </conditionalFormatting>
  <conditionalFormatting sqref="G26:G56">
    <cfRule type="expression" dxfId="85" priority="983">
      <formula>AND(COUNTIF($L$26:$L$56,"")&lt;31, COUNTIF($G$26:$G$56,"")&gt;0)</formula>
    </cfRule>
    <cfRule type="containsText" priority="2" stopIfTrue="1" operator="containsText" text="a">
      <formula>NOT(ISERROR(SEARCH("a",G26)))</formula>
    </cfRule>
  </conditionalFormatting>
  <pageMargins left="0.7" right="0.7" top="0.75" bottom="0.75" header="0.3" footer="0.3"/>
  <pageSetup scale="31"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325" id="{30A8BA7F-3C50-40C6-8908-1ECD5FDD7361}">
            <xm:f>OR(AND($D$20&lt;&gt;"Year 3",$J$14&lt;&gt;3), AND(OR($D$20="Year 3",$J$14=3), OR(EN_PF_YearY!$D$20="Year 2", EN_PF_YearY!$J$14=2, EN_PF_Year3!$D$20="Year 2", EN_PF_Year3!$J$14=2, EN_PF_YearY!$D$20="", AND(EN_PF_YearY!$J$14="", EN_PF_Year3!$D$20="", EN_PF_Year3!$J$14=""))))</xm:f>
            <x14:dxf>
              <font>
                <color theme="0"/>
              </font>
              <fill>
                <patternFill>
                  <fgColor theme="0"/>
                  <bgColor theme="0"/>
                </patternFill>
              </fill>
              <border>
                <left/>
                <right/>
                <top/>
                <bottom/>
                <vertical/>
                <horizontal/>
              </border>
            </x14:dxf>
          </x14:cfRule>
          <xm:sqref>G18</xm:sqref>
        </x14:conditionalFormatting>
        <x14:conditionalFormatting xmlns:xm="http://schemas.microsoft.com/office/excel/2006/main">
          <x14:cfRule type="expression" priority="326" id="{94946C56-7A4F-4AC1-A7DE-749DAECE113F}">
            <xm:f>OR(AND(J14&lt;&gt;"", EN_PF_YearY!J14&lt;&gt;"", J14=EN_PF_YearY!J14), AND(J14&lt;&gt;"", J14&lt;&gt;"", J14=J14), AND(J14="", $G$20&lt;&gt;"", OR($D$15="", $D$15= "No")))</xm:f>
            <x14:dxf>
              <font>
                <color rgb="FFA50021"/>
              </font>
              <fill>
                <patternFill>
                  <bgColor rgb="FFFFC7CE"/>
                </patternFill>
              </fill>
            </x14:dxf>
          </x14:cfRule>
          <xm:sqref>J14</xm:sqref>
        </x14:conditionalFormatting>
        <x14:conditionalFormatting xmlns:xm="http://schemas.microsoft.com/office/excel/2006/main">
          <x14:cfRule type="expression" priority="204" id="{0E41B711-E6FA-4817-8B30-858B78945DE2}">
            <xm:f>OR(AND(EN_PF_Year3!$D$20&lt;&gt;"",$D$20&lt;&gt;"",EN_PF_Year3!$D$20=$D$20),AND($D$20&lt;&gt;"",EN_PF_YearY!$D$20&lt;&gt;"",$D$20=EN_PF_YearY!$D$20),AND($D$20="",OR(SUMPRODUCT(--($G$26:G56&lt;&gt;""))=31,SUMPRODUCT(--($L$26:$L$56&lt;&gt;""))=31)), AND(OR($D$20="Year 3",$J$14=3), EN_PF_Year3!$D$20&lt;&gt;"Year 2", EN_PF_Year3!$J$14&lt;&gt;2, EN_PF_YearY!$D$20&lt;&gt;"Year 2", EN_PF_YearY!$J$14&lt;&gt;2, OR(EN_PF_Year3!$D$20="Year 1", EN_PF_Year3!$J$14=1, EN_PF_YearY!$D$20="Year 1", EN_PF_YearY!$J$14=1)))</xm:f>
            <x14:dxf>
              <font>
                <color rgb="FFA50021"/>
              </font>
              <fill>
                <patternFill>
                  <bgColor rgb="FFFFC7CE"/>
                </patternFill>
              </fill>
            </x14:dxf>
          </x14:cfRule>
          <xm:sqref>D20</xm:sqref>
        </x14:conditionalFormatting>
        <x14:conditionalFormatting xmlns:xm="http://schemas.microsoft.com/office/excel/2006/main">
          <x14:cfRule type="expression" priority="210" id="{CB694585-FAED-4CED-A7FE-1ADE0BA0AD3B}">
            <xm:f>OR(AND(D15="",COUNTIF($G$26:$G$56,"")&lt;31), AND(EN_PF_Year3!$D$15&lt;&gt;"",$D$15&lt;&gt;"",EN_PF_Year3!$D$15&lt;&gt;$D$15),AND(EN_PF_YearY!$D$15&lt;&gt;"",$D$15&lt;&gt;"",EN_PF_YearY!$D$15&lt;&gt;$D$15),AND($D$15="",OR(SUMPRODUCT(--($G$26:G58&lt;&gt;""))=31,SUMPRODUCT(--($L$26:$L$56&lt;&gt;""))=31)))</xm:f>
            <x14:dxf>
              <font>
                <color rgb="FFA50021"/>
              </font>
              <fill>
                <patternFill>
                  <bgColor rgb="FFFFC7CE"/>
                </patternFill>
              </fill>
            </x14:dxf>
          </x14:cfRule>
          <xm:sqref>D15</xm:sqref>
        </x14:conditionalFormatting>
        <x14:conditionalFormatting xmlns:xm="http://schemas.microsoft.com/office/excel/2006/main">
          <x14:cfRule type="expression" priority="4" id="{5DE9995A-E4E4-4023-91C2-5BD101505C05}">
            <xm:f>AND(OR($D$20="Year 3",$J$14=3), EN_PF_Year3!$D$20&lt;&gt;"Year 2", EN_PF_Year3!$J$14&lt;&gt;2, EN_PF_YearY!$D$20&lt;&gt;"Year 2", EN_PF_YearY!$J$14&lt;&gt;2, OR(EN_PF_Year3!$D$20="Year 1", EN_PF_Year3!$J$14=1, EN_PF_YearY!$D$20="Year 1", EN_PF_YearY!$J$14=1))</xm:f>
            <x14:dxf>
              <font>
                <color rgb="FF9C0006"/>
              </font>
              <fill>
                <patternFill>
                  <bgColor rgb="FFFFC7CE"/>
                </patternFill>
              </fill>
            </x14:dxf>
          </x14:cfRule>
          <xm:sqref>L26:L56</xm:sqref>
        </x14:conditionalFormatting>
      </x14:conditionalFormattings>
    </ext>
    <ext xmlns:x14="http://schemas.microsoft.com/office/spreadsheetml/2009/9/main" uri="{CCE6A557-97BC-4b89-ADB6-D9C93CAAB3DF}">
      <x14:dataValidations xmlns:xm="http://schemas.microsoft.com/office/excel/2006/main" count="44">
        <x14:dataValidation type="list" allowBlank="1" showInputMessage="1" showErrorMessage="1" xr:uid="{89F5AFA7-96FF-4F4F-8BE4-35DAA9150BB5}">
          <x14:formula1>
            <xm:f>EN_PF_DROPDOWN!$A$3:$A$6</xm:f>
          </x14:formula1>
          <xm:sqref>L26:L27 L29:L31 L33:L34 L36:L42 L44:L49 L51:L53</xm:sqref>
        </x14:dataValidation>
        <x14:dataValidation type="list" allowBlank="1" showInputMessage="1" showErrorMessage="1" xr:uid="{B0D31EC0-69B8-4A15-8C77-0E22C4681797}">
          <x14:formula1>
            <xm:f>EN_PF_DROPDOWN!$A$9:$A$11</xm:f>
          </x14:formula1>
          <xm:sqref>D20</xm:sqref>
        </x14:dataValidation>
        <x14:dataValidation type="list" allowBlank="1" showInputMessage="1" showErrorMessage="1" xr:uid="{FD0AC07C-52EB-47B6-94F1-B7108A27C52B}">
          <x14:formula1>
            <xm:f>EN_PF_DROPDOWN!$A$15:$A$24</xm:f>
          </x14:formula1>
          <xm:sqref>J13:K13</xm:sqref>
        </x14:dataValidation>
        <x14:dataValidation type="list" allowBlank="1" showInputMessage="1" showErrorMessage="1" xr:uid="{C94DA11F-2B70-4851-8C39-32FF7846A33F}">
          <x14:formula1>
            <xm:f>EN_PF_DROPDOWN!$C$3:$C$6</xm:f>
          </x14:formula1>
          <xm:sqref>G26</xm:sqref>
        </x14:dataValidation>
        <x14:dataValidation type="list" allowBlank="1" showInputMessage="1" showErrorMessage="1" xr:uid="{ED2BDE16-E67C-4D78-997B-674E5507906A}">
          <x14:formula1>
            <xm:f>EN_PF_DROPDOWN!$C$9:$C$12</xm:f>
          </x14:formula1>
          <xm:sqref>G27</xm:sqref>
        </x14:dataValidation>
        <x14:dataValidation type="list" allowBlank="1" showInputMessage="1" showErrorMessage="1" xr:uid="{4A6792B4-26FF-462B-902F-9BBBC6B27252}">
          <x14:formula1>
            <xm:f>EN_PF_DROPDOWN!$C$15:$C$17</xm:f>
          </x14:formula1>
          <xm:sqref>G28</xm:sqref>
        </x14:dataValidation>
        <x14:dataValidation type="list" allowBlank="1" showInputMessage="1" showErrorMessage="1" xr:uid="{B21F008A-23B0-4531-A2A0-80A80F4A589F}">
          <x14:formula1>
            <xm:f>EN_PF_DROPDOWN!$C$19:$C$22</xm:f>
          </x14:formula1>
          <xm:sqref>G29</xm:sqref>
        </x14:dataValidation>
        <x14:dataValidation type="list" allowBlank="1" showInputMessage="1" showErrorMessage="1" xr:uid="{90C47859-A374-45C5-BF79-82561EE9A1AD}">
          <x14:formula1>
            <xm:f>EN_PF_DROPDOWN!$C$31:$C$34</xm:f>
          </x14:formula1>
          <xm:sqref>G31</xm:sqref>
        </x14:dataValidation>
        <x14:dataValidation type="list" allowBlank="1" showInputMessage="1" showErrorMessage="1" xr:uid="{1115D293-B76B-4096-9210-7F4F30BBD60F}">
          <x14:formula1>
            <xm:f>EN_PF_DROPDOWN!$C$37:$C$38</xm:f>
          </x14:formula1>
          <xm:sqref>G32</xm:sqref>
        </x14:dataValidation>
        <x14:dataValidation type="list" allowBlank="1" showInputMessage="1" showErrorMessage="1" xr:uid="{E8584E47-5BDD-48CD-818B-7F88E827AF48}">
          <x14:formula1>
            <xm:f>EN_PF_DROPDOWN!$C$41:$C$44</xm:f>
          </x14:formula1>
          <xm:sqref>G33</xm:sqref>
        </x14:dataValidation>
        <x14:dataValidation type="list" allowBlank="1" showInputMessage="1" showErrorMessage="1" xr:uid="{F6CDB1F0-AA25-46A0-B328-446F89934385}">
          <x14:formula1>
            <xm:f>EN_PF_DROPDOWN!$G$3:$G$6</xm:f>
          </x14:formula1>
          <xm:sqref>G34</xm:sqref>
        </x14:dataValidation>
        <x14:dataValidation type="list" allowBlank="1" showInputMessage="1" showErrorMessage="1" xr:uid="{AB8D6D34-F81C-4E7B-A9B6-163644D0ADE6}">
          <x14:formula1>
            <xm:f>EN_PF_DROPDOWN!$A$33:$A$35</xm:f>
          </x14:formula1>
          <xm:sqref>J14:K14</xm:sqref>
        </x14:dataValidation>
        <x14:dataValidation type="list" allowBlank="1" showInputMessage="1" showErrorMessage="1" xr:uid="{BA69D7CB-63C2-458D-A5A5-856CD8C7DCE0}">
          <x14:formula1>
            <xm:f>EN_PF_DROPDOWN!$G$9:$G$11</xm:f>
          </x14:formula1>
          <xm:sqref>G35</xm:sqref>
        </x14:dataValidation>
        <x14:dataValidation type="list" allowBlank="1" showInputMessage="1" showErrorMessage="1" xr:uid="{B67E9BBF-8579-4242-B6DF-F5937DA6FC36}">
          <x14:formula1>
            <xm:f>EN_PF_DROPDOWN!$G$14:$G$17</xm:f>
          </x14:formula1>
          <xm:sqref>G36</xm:sqref>
        </x14:dataValidation>
        <x14:dataValidation type="list" allowBlank="1" showInputMessage="1" showErrorMessage="1" xr:uid="{8086B57D-73C8-49C5-AE85-68C72053CB99}">
          <x14:formula1>
            <xm:f>EN_PF_DROPDOWN!$G$20:$G$23</xm:f>
          </x14:formula1>
          <xm:sqref>G37</xm:sqref>
        </x14:dataValidation>
        <x14:dataValidation type="list" allowBlank="1" showInputMessage="1" showErrorMessage="1" xr:uid="{38E752B7-BBE4-4CF9-9F6A-14AF1669BC94}">
          <x14:formula1>
            <xm:f>EN_PF_DROPDOWN!$G$26:$G$29</xm:f>
          </x14:formula1>
          <xm:sqref>G38</xm:sqref>
        </x14:dataValidation>
        <x14:dataValidation type="list" allowBlank="1" showInputMessage="1" showErrorMessage="1" xr:uid="{05B98598-E7DC-4EE4-AA34-80F4B27801E4}">
          <x14:formula1>
            <xm:f>EN_PF_DROPDOWN!$G$32:$G$35</xm:f>
          </x14:formula1>
          <xm:sqref>G39</xm:sqref>
        </x14:dataValidation>
        <x14:dataValidation type="list" allowBlank="1" showInputMessage="1" showErrorMessage="1" xr:uid="{1692BEC4-1B9F-4AE9-8AE3-D47439C0CED4}">
          <x14:formula1>
            <xm:f>EN_PF_DROPDOWN!$G$38:$G$41</xm:f>
          </x14:formula1>
          <xm:sqref>G40</xm:sqref>
        </x14:dataValidation>
        <x14:dataValidation type="list" allowBlank="1" showInputMessage="1" showErrorMessage="1" xr:uid="{604FA1F1-ECF6-4560-A192-431DBBE61EC1}">
          <x14:formula1>
            <xm:f>EN_PF_DROPDOWN!$G$44:$G$47</xm:f>
          </x14:formula1>
          <xm:sqref>G41</xm:sqref>
        </x14:dataValidation>
        <x14:dataValidation type="list" allowBlank="1" showInputMessage="1" showErrorMessage="1" xr:uid="{0BF56E7B-6793-4F00-9DE7-0E9B62AA0BC8}">
          <x14:formula1>
            <xm:f>EN_PF_DROPDOWN!$G$50:$G$53</xm:f>
          </x14:formula1>
          <xm:sqref>G42</xm:sqref>
        </x14:dataValidation>
        <x14:dataValidation type="list" allowBlank="1" showInputMessage="1" showErrorMessage="1" xr:uid="{3EEF4886-2F48-403F-B57B-2E32EAD8909B}">
          <x14:formula1>
            <xm:f>EN_PF_DROPDOWN!$K$3:$K$5</xm:f>
          </x14:formula1>
          <xm:sqref>G43</xm:sqref>
        </x14:dataValidation>
        <x14:dataValidation type="list" allowBlank="1" showInputMessage="1" showErrorMessage="1" xr:uid="{98AC0250-E91A-45C1-B88E-9C836FE49DBE}">
          <x14:formula1>
            <xm:f>EN_PF_DROPDOWN!$K$8:$K$10</xm:f>
          </x14:formula1>
          <xm:sqref>G44</xm:sqref>
        </x14:dataValidation>
        <x14:dataValidation type="list" allowBlank="1" showInputMessage="1" showErrorMessage="1" xr:uid="{D0D2379D-E396-483E-8336-85A986A867B9}">
          <x14:formula1>
            <xm:f>EN_PF_DROPDOWN!$K$14:$K$17</xm:f>
          </x14:formula1>
          <xm:sqref>G45</xm:sqref>
        </x14:dataValidation>
        <x14:dataValidation type="list" allowBlank="1" showInputMessage="1" showErrorMessage="1" xr:uid="{C64DDC34-D8F6-4F84-BFEA-30FD9A50EDEE}">
          <x14:formula1>
            <xm:f>EN_PF_DROPDOWN!$K$20:$K$23</xm:f>
          </x14:formula1>
          <xm:sqref>G46</xm:sqref>
        </x14:dataValidation>
        <x14:dataValidation type="list" allowBlank="1" showInputMessage="1" showErrorMessage="1" xr:uid="{66443E79-B12F-45A9-96C2-69ABE12A72CE}">
          <x14:formula1>
            <xm:f>EN_PF_DROPDOWN!$K$26:$K$29</xm:f>
          </x14:formula1>
          <xm:sqref>G47</xm:sqref>
        </x14:dataValidation>
        <x14:dataValidation type="list" allowBlank="1" showInputMessage="1" showErrorMessage="1" xr:uid="{5C6F4091-2E08-44BA-9498-093798200AF6}">
          <x14:formula1>
            <xm:f>EN_PF_DROPDOWN!$O$3:$O$6</xm:f>
          </x14:formula1>
          <xm:sqref>G48</xm:sqref>
        </x14:dataValidation>
        <x14:dataValidation type="list" allowBlank="1" showInputMessage="1" showErrorMessage="1" xr:uid="{10D1BCCB-D469-4C16-B42B-2F5BE5EE6FE6}">
          <x14:formula1>
            <xm:f>EN_PF_DROPDOWN!$O$9:$O$12</xm:f>
          </x14:formula1>
          <xm:sqref>G49</xm:sqref>
        </x14:dataValidation>
        <x14:dataValidation type="list" allowBlank="1" showInputMessage="1" showErrorMessage="1" xr:uid="{8622ED2D-E0B3-4184-8A78-50E9433A2A09}">
          <x14:formula1>
            <xm:f>EN_PF_DROPDOWN!$O$15:$O$17</xm:f>
          </x14:formula1>
          <xm:sqref>G50</xm:sqref>
        </x14:dataValidation>
        <x14:dataValidation type="list" allowBlank="1" showInputMessage="1" showErrorMessage="1" xr:uid="{7D76CFEB-211A-45F0-B758-E9DB5D3131A6}">
          <x14:formula1>
            <xm:f>EN_PF_DROPDOWN!$O$20:$O$23</xm:f>
          </x14:formula1>
          <xm:sqref>G51</xm:sqref>
        </x14:dataValidation>
        <x14:dataValidation type="list" allowBlank="1" showInputMessage="1" showErrorMessage="1" xr:uid="{B7C7AE24-E2EF-4718-9D6A-D7D6BEB35D64}">
          <x14:formula1>
            <xm:f>EN_PF_DROPDOWN!$O$26:$O$29</xm:f>
          </x14:formula1>
          <xm:sqref>G52</xm:sqref>
        </x14:dataValidation>
        <x14:dataValidation type="list" allowBlank="1" showInputMessage="1" showErrorMessage="1" xr:uid="{56FDAA9E-8586-4FCC-88E8-34886CF17683}">
          <x14:formula1>
            <xm:f>EN_PF_DROPDOWN!$O$32:$O$35</xm:f>
          </x14:formula1>
          <xm:sqref>G53</xm:sqref>
        </x14:dataValidation>
        <x14:dataValidation type="list" allowBlank="1" showInputMessage="1" showErrorMessage="1" xr:uid="{E677E88C-46FA-44F9-9F5D-68777634E9FF}">
          <x14:formula1>
            <xm:f>EN_PF_DROPDOWN!$O$38:$O$40</xm:f>
          </x14:formula1>
          <xm:sqref>G54</xm:sqref>
        </x14:dataValidation>
        <x14:dataValidation type="list" allowBlank="1" showInputMessage="1" showErrorMessage="1" xr:uid="{B11FC728-C2C0-40C3-9400-D7BAB8E087AF}">
          <x14:formula1>
            <xm:f>EN_PF_DROPDOWN!$O$43:$O$45</xm:f>
          </x14:formula1>
          <xm:sqref>G55</xm:sqref>
        </x14:dataValidation>
        <x14:dataValidation type="list" allowBlank="1" showInputMessage="1" showErrorMessage="1" xr:uid="{F30EAE13-DC94-4B82-9ABE-B9E9439F91F4}">
          <x14:formula1>
            <xm:f>EN_PF_DROPDOWN!$O$48:$O$50</xm:f>
          </x14:formula1>
          <xm:sqref>G56</xm:sqref>
        </x14:dataValidation>
        <x14:dataValidation type="list" allowBlank="1" showInputMessage="1" showErrorMessage="1" xr:uid="{1DC5991D-4BC2-45F2-ABE2-1B2C5CEF1A9C}">
          <x14:formula1>
            <xm:f>EN_PF_DROPDOWN!$A$27:$A$29</xm:f>
          </x14:formula1>
          <xm:sqref>F7:F9</xm:sqref>
        </x14:dataValidation>
        <x14:dataValidation type="list" allowBlank="1" showInputMessage="1" showErrorMessage="1" xr:uid="{C152B73F-E3E5-478D-8262-D62829A0C633}">
          <x14:formula1>
            <xm:f>EN_PF_DROPDOWN!$C$25:$C$28</xm:f>
          </x14:formula1>
          <xm:sqref>G30</xm:sqref>
        </x14:dataValidation>
        <x14:dataValidation type="list" allowBlank="1" showInputMessage="1" showErrorMessage="1" xr:uid="{54D06406-EBFA-437F-846D-F36F32A7E8DD}">
          <x14:formula1>
            <xm:f>EN_PF_DROPDOWN!$A$57:$A$59</xm:f>
          </x14:formula1>
          <xm:sqref>D9</xm:sqref>
        </x14:dataValidation>
        <x14:dataValidation type="list" allowBlank="1" showInputMessage="1" showErrorMessage="1" xr:uid="{DF1A9FAD-27BD-4F60-8789-27952D7C08BE}">
          <x14:formula1>
            <xm:f>EN_PF_DROPDOWN!$A$61:$A$62</xm:f>
          </x14:formula1>
          <xm:sqref>D14:D15</xm:sqref>
        </x14:dataValidation>
        <x14:dataValidation type="list" allowBlank="1" showInputMessage="1" showErrorMessage="1" xr:uid="{7143E55E-33F1-404E-B98F-E1F889F48639}">
          <x14:formula1>
            <xm:f>EN_PF_DROPDOWN!$A$3:$A$5</xm:f>
          </x14:formula1>
          <xm:sqref>L43 L56</xm:sqref>
        </x14:dataValidation>
        <x14:dataValidation type="list" allowBlank="1" showInputMessage="1" showErrorMessage="1" xr:uid="{A122EB76-0D94-4DEF-B42E-566BB44AEB5C}">
          <x14:formula1>
            <xm:f>EN_PF_DROPDOWN!$B$3:$B$5</xm:f>
          </x14:formula1>
          <xm:sqref>L50 L54:L55</xm:sqref>
        </x14:dataValidation>
        <x14:dataValidation type="list" allowBlank="1" showInputMessage="1" showErrorMessage="1" xr:uid="{9C67F188-E769-435A-828B-B58CDAABA2ED}">
          <x14:formula1>
            <xm:f>EN_PF_DROPDOWN!$A$7:$C$7</xm:f>
          </x14:formula1>
          <xm:sqref>L28 L35</xm:sqref>
        </x14:dataValidation>
        <x14:dataValidation type="list" allowBlank="1" showInputMessage="1" showErrorMessage="1" xr:uid="{BA2035DA-C4E1-497E-BFF5-0E882D1C9775}">
          <x14:formula1>
            <xm:f>EN_PF_DROPDOWN!$A$7:$B$7</xm:f>
          </x14:formula1>
          <xm:sqref>L32</xm:sqref>
        </x14:dataValidation>
        <x14:dataValidation type="list" allowBlank="1" showInputMessage="1" showErrorMessage="1" xr:uid="{7B0C8422-726F-4890-AA2A-90E974BB56B9}">
          <x14:formula1>
            <xm:f>EN_PF_DROPDOWN!$C$61:$C$62</xm:f>
          </x14:formula1>
          <xm:sqref>D21</xm:sqref>
        </x14:dataValidation>
        <x14:dataValidation type="list" allowBlank="1" showInputMessage="1" showErrorMessage="1" xr:uid="{879C1247-00FD-4B48-AA4E-637E732B1A12}">
          <x14:formula1>
            <xm:f>List_CCM_Names!$A$1:$A$125</xm:f>
          </x14:formula1>
          <xm:sqref>D13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D3141-BAFC-43FA-9601-6374A3B27A00}">
  <sheetPr codeName="Sheet11"/>
  <dimension ref="A1:W105"/>
  <sheetViews>
    <sheetView zoomScale="90" zoomScaleNormal="90" workbookViewId="0">
      <selection activeCell="D17" sqref="D17"/>
    </sheetView>
  </sheetViews>
  <sheetFormatPr defaultColWidth="8.625" defaultRowHeight="30" customHeight="1" x14ac:dyDescent="0.2"/>
  <cols>
    <col min="1" max="1" width="50.625" style="135" customWidth="1"/>
    <col min="2" max="2" width="5.625" style="135" customWidth="1"/>
    <col min="3" max="3" width="50.625" style="135" customWidth="1"/>
    <col min="4" max="4" width="5.625" style="135" customWidth="1"/>
    <col min="5" max="5" width="50.625" style="135" customWidth="1"/>
    <col min="6" max="6" width="5.875" style="135" customWidth="1"/>
    <col min="7" max="7" width="50.625" style="135" customWidth="1"/>
    <col min="8" max="8" width="5.625" style="143" customWidth="1"/>
    <col min="9" max="9" width="50.625" style="135" customWidth="1"/>
    <col min="10" max="10" width="8.625" style="135"/>
    <col min="11" max="11" width="50.625" style="135" customWidth="1"/>
    <col min="12" max="12" width="8.625" style="135"/>
    <col min="13" max="13" width="50.625" style="135" customWidth="1"/>
    <col min="14" max="14" width="8.625" style="135"/>
    <col min="15" max="15" width="50.625" style="135" customWidth="1"/>
    <col min="16" max="16" width="8.625" style="135"/>
    <col min="17" max="17" width="50.625" style="135" customWidth="1"/>
    <col min="18" max="18" width="8.625" style="135"/>
    <col min="19" max="19" width="15.625" style="135" customWidth="1"/>
    <col min="20" max="20" width="8.625" style="135"/>
    <col min="21" max="21" width="50.625" style="135" customWidth="1"/>
    <col min="22" max="16384" width="8.625" style="135"/>
  </cols>
  <sheetData>
    <row r="1" spans="1:23" ht="12.75" thickBot="1" x14ac:dyDescent="0.25">
      <c r="A1" s="134" t="s">
        <v>327</v>
      </c>
      <c r="C1" s="436" t="s">
        <v>110</v>
      </c>
      <c r="D1" s="436"/>
      <c r="E1" s="436"/>
      <c r="G1" s="437" t="s">
        <v>113</v>
      </c>
      <c r="H1" s="437"/>
      <c r="I1" s="437"/>
      <c r="K1" s="438" t="s">
        <v>114</v>
      </c>
      <c r="L1" s="438"/>
      <c r="M1" s="438"/>
      <c r="O1" s="431" t="s">
        <v>118</v>
      </c>
      <c r="P1" s="431"/>
      <c r="Q1" s="431"/>
      <c r="S1" s="432" t="s">
        <v>250</v>
      </c>
      <c r="T1" s="433"/>
      <c r="U1" s="434"/>
      <c r="W1" s="136" t="s">
        <v>250</v>
      </c>
    </row>
    <row r="2" spans="1:23" ht="69.599999999999994" customHeight="1" thickBot="1" x14ac:dyDescent="0.25">
      <c r="A2" s="137" t="s">
        <v>149</v>
      </c>
      <c r="C2" s="138" t="s">
        <v>155</v>
      </c>
      <c r="D2" s="139"/>
      <c r="E2" s="138" t="s">
        <v>165</v>
      </c>
      <c r="G2" s="138" t="s">
        <v>166</v>
      </c>
      <c r="H2" s="140"/>
      <c r="I2" s="141" t="s">
        <v>165</v>
      </c>
      <c r="K2" s="141" t="s">
        <v>169</v>
      </c>
      <c r="L2" s="140"/>
      <c r="M2" s="141" t="s">
        <v>165</v>
      </c>
      <c r="O2" s="138" t="s">
        <v>611</v>
      </c>
      <c r="P2" s="140"/>
      <c r="Q2" s="141" t="s">
        <v>165</v>
      </c>
      <c r="S2" s="142" t="s">
        <v>258</v>
      </c>
      <c r="T2" s="143"/>
      <c r="U2" s="144" t="s">
        <v>259</v>
      </c>
      <c r="W2" s="145" t="s">
        <v>374</v>
      </c>
    </row>
    <row r="3" spans="1:23" ht="122.45" customHeight="1" thickBot="1" x14ac:dyDescent="0.25">
      <c r="A3" s="146">
        <v>0</v>
      </c>
      <c r="B3" s="147">
        <v>0</v>
      </c>
      <c r="C3" s="148" t="s">
        <v>518</v>
      </c>
      <c r="D3" s="149">
        <v>3</v>
      </c>
      <c r="E3" s="150" t="s">
        <v>235</v>
      </c>
      <c r="G3" s="151" t="s">
        <v>617</v>
      </c>
      <c r="H3" s="140">
        <v>3</v>
      </c>
      <c r="I3" s="152" t="s">
        <v>458</v>
      </c>
      <c r="K3" s="151" t="s">
        <v>554</v>
      </c>
      <c r="L3" s="153">
        <v>2</v>
      </c>
      <c r="M3" s="151" t="s">
        <v>213</v>
      </c>
      <c r="O3" s="152" t="s">
        <v>252</v>
      </c>
      <c r="P3" s="140">
        <v>3</v>
      </c>
      <c r="Q3" s="152" t="s">
        <v>251</v>
      </c>
      <c r="S3" s="145" t="s">
        <v>374</v>
      </c>
      <c r="T3" s="143"/>
      <c r="U3" s="152" t="s">
        <v>427</v>
      </c>
      <c r="W3" s="145" t="s">
        <v>373</v>
      </c>
    </row>
    <row r="4" spans="1:23" ht="156" customHeight="1" thickBot="1" x14ac:dyDescent="0.25">
      <c r="A4" s="146">
        <v>1</v>
      </c>
      <c r="B4" s="147">
        <v>1</v>
      </c>
      <c r="C4" s="148" t="s">
        <v>519</v>
      </c>
      <c r="D4" s="149">
        <v>2</v>
      </c>
      <c r="E4" s="150" t="s">
        <v>376</v>
      </c>
      <c r="G4" s="151" t="s">
        <v>618</v>
      </c>
      <c r="H4" s="140">
        <v>2</v>
      </c>
      <c r="I4" s="152" t="s">
        <v>459</v>
      </c>
      <c r="K4" s="151" t="s">
        <v>388</v>
      </c>
      <c r="L4" s="153">
        <v>1</v>
      </c>
      <c r="M4" s="151" t="s">
        <v>212</v>
      </c>
      <c r="O4" s="152" t="s">
        <v>253</v>
      </c>
      <c r="P4" s="140">
        <v>2</v>
      </c>
      <c r="Q4" s="152" t="s">
        <v>223</v>
      </c>
      <c r="S4" s="145" t="s">
        <v>373</v>
      </c>
      <c r="T4" s="143"/>
      <c r="U4" s="152" t="s">
        <v>428</v>
      </c>
      <c r="W4" s="145" t="s">
        <v>372</v>
      </c>
    </row>
    <row r="5" spans="1:23" ht="93.6" customHeight="1" thickBot="1" x14ac:dyDescent="0.25">
      <c r="A5" s="154">
        <v>2</v>
      </c>
      <c r="B5" s="147">
        <v>2</v>
      </c>
      <c r="C5" s="148" t="s">
        <v>520</v>
      </c>
      <c r="D5" s="149">
        <v>1</v>
      </c>
      <c r="E5" s="150" t="s">
        <v>234</v>
      </c>
      <c r="G5" s="151" t="s">
        <v>534</v>
      </c>
      <c r="H5" s="140">
        <v>1</v>
      </c>
      <c r="I5" s="152" t="s">
        <v>459</v>
      </c>
      <c r="K5" s="151" t="s">
        <v>211</v>
      </c>
      <c r="L5" s="153">
        <v>0</v>
      </c>
      <c r="M5" s="155" t="s">
        <v>164</v>
      </c>
      <c r="O5" s="152" t="s">
        <v>567</v>
      </c>
      <c r="P5" s="140">
        <v>1</v>
      </c>
      <c r="Q5" s="152" t="s">
        <v>222</v>
      </c>
      <c r="S5" s="145" t="s">
        <v>372</v>
      </c>
      <c r="T5" s="143"/>
      <c r="U5" s="152" t="s">
        <v>261</v>
      </c>
      <c r="W5" s="145" t="s">
        <v>371</v>
      </c>
    </row>
    <row r="6" spans="1:23" ht="89.1" customHeight="1" thickBot="1" x14ac:dyDescent="0.25">
      <c r="A6" s="156">
        <v>3</v>
      </c>
      <c r="B6" s="147">
        <v>3</v>
      </c>
      <c r="C6" s="148" t="s">
        <v>612</v>
      </c>
      <c r="D6" s="149">
        <v>0</v>
      </c>
      <c r="E6" s="150" t="s">
        <v>164</v>
      </c>
      <c r="G6" s="151" t="s">
        <v>535</v>
      </c>
      <c r="H6" s="140">
        <v>0</v>
      </c>
      <c r="I6" s="157" t="s">
        <v>164</v>
      </c>
      <c r="L6" s="140"/>
      <c r="M6" s="158"/>
      <c r="O6" s="152" t="s">
        <v>568</v>
      </c>
      <c r="P6" s="140">
        <v>0</v>
      </c>
      <c r="Q6" s="152" t="s">
        <v>164</v>
      </c>
      <c r="R6" s="135" t="s">
        <v>221</v>
      </c>
      <c r="S6" s="145" t="s">
        <v>371</v>
      </c>
      <c r="T6" s="143"/>
      <c r="U6" s="152" t="s">
        <v>260</v>
      </c>
    </row>
    <row r="7" spans="1:23" ht="30" customHeight="1" thickBot="1" x14ac:dyDescent="0.25">
      <c r="A7" s="159">
        <v>0</v>
      </c>
      <c r="B7" s="147">
        <v>2</v>
      </c>
      <c r="C7" s="147">
        <v>3</v>
      </c>
      <c r="D7" s="140"/>
      <c r="H7" s="140"/>
      <c r="K7" s="160" t="s">
        <v>170</v>
      </c>
      <c r="L7" s="147"/>
      <c r="M7" s="141" t="s">
        <v>165</v>
      </c>
      <c r="O7" s="158"/>
      <c r="P7" s="147"/>
      <c r="S7" s="147"/>
    </row>
    <row r="8" spans="1:23" ht="119.45" customHeight="1" thickBot="1" x14ac:dyDescent="0.25">
      <c r="A8" s="138" t="s">
        <v>151</v>
      </c>
      <c r="C8" s="161" t="s">
        <v>610</v>
      </c>
      <c r="D8" s="139"/>
      <c r="E8" s="162"/>
      <c r="G8" s="163" t="s">
        <v>440</v>
      </c>
      <c r="H8" s="140"/>
      <c r="I8" s="164" t="s">
        <v>165</v>
      </c>
      <c r="K8" s="165" t="s">
        <v>555</v>
      </c>
      <c r="L8" s="140">
        <v>3</v>
      </c>
      <c r="M8" s="152" t="s">
        <v>424</v>
      </c>
      <c r="O8" s="138" t="s">
        <v>573</v>
      </c>
      <c r="P8" s="140"/>
      <c r="Q8" s="164" t="s">
        <v>165</v>
      </c>
      <c r="S8" s="166" t="s">
        <v>263</v>
      </c>
      <c r="T8" s="143"/>
      <c r="U8" s="144" t="s">
        <v>259</v>
      </c>
    </row>
    <row r="9" spans="1:23" ht="90.6" customHeight="1" thickBot="1" x14ac:dyDescent="0.25">
      <c r="A9" s="157" t="s">
        <v>115</v>
      </c>
      <c r="C9" s="152" t="s">
        <v>521</v>
      </c>
      <c r="D9" s="140">
        <v>3</v>
      </c>
      <c r="E9" s="152" t="s">
        <v>453</v>
      </c>
      <c r="F9" s="167"/>
      <c r="G9" s="165" t="s">
        <v>536</v>
      </c>
      <c r="H9" s="153">
        <v>3</v>
      </c>
      <c r="I9" s="151" t="s">
        <v>461</v>
      </c>
      <c r="K9" s="165" t="s">
        <v>556</v>
      </c>
      <c r="L9" s="140">
        <v>2</v>
      </c>
      <c r="M9" s="152" t="s">
        <v>214</v>
      </c>
      <c r="O9" s="152" t="s">
        <v>569</v>
      </c>
      <c r="P9" s="140">
        <v>3</v>
      </c>
      <c r="Q9" s="152" t="s">
        <v>462</v>
      </c>
      <c r="S9" s="145" t="s">
        <v>374</v>
      </c>
      <c r="T9" s="143"/>
      <c r="U9" s="152" t="s">
        <v>267</v>
      </c>
    </row>
    <row r="10" spans="1:23" ht="81" customHeight="1" thickBot="1" x14ac:dyDescent="0.25">
      <c r="A10" s="157" t="s">
        <v>116</v>
      </c>
      <c r="C10" s="151" t="s">
        <v>522</v>
      </c>
      <c r="D10" s="140">
        <v>2</v>
      </c>
      <c r="E10" s="152" t="s">
        <v>454</v>
      </c>
      <c r="F10" s="167"/>
      <c r="G10" s="151" t="s">
        <v>537</v>
      </c>
      <c r="H10" s="153">
        <v>2</v>
      </c>
      <c r="I10" s="151" t="s">
        <v>461</v>
      </c>
      <c r="K10" s="151" t="s">
        <v>557</v>
      </c>
      <c r="L10" s="140">
        <v>1</v>
      </c>
      <c r="M10" s="152" t="s">
        <v>389</v>
      </c>
      <c r="O10" s="152" t="s">
        <v>570</v>
      </c>
      <c r="P10" s="140">
        <v>2</v>
      </c>
      <c r="Q10" s="152" t="s">
        <v>462</v>
      </c>
      <c r="S10" s="145" t="s">
        <v>373</v>
      </c>
      <c r="T10" s="143"/>
      <c r="U10" s="152" t="s">
        <v>266</v>
      </c>
    </row>
    <row r="11" spans="1:23" ht="78" customHeight="1" thickBot="1" x14ac:dyDescent="0.25">
      <c r="A11" s="157" t="s">
        <v>117</v>
      </c>
      <c r="C11" s="152" t="s">
        <v>515</v>
      </c>
      <c r="D11" s="140">
        <v>1</v>
      </c>
      <c r="E11" s="152" t="s">
        <v>455</v>
      </c>
      <c r="F11" s="167"/>
      <c r="G11" s="151" t="s">
        <v>538</v>
      </c>
      <c r="H11" s="153">
        <v>0</v>
      </c>
      <c r="I11" s="151" t="s">
        <v>463</v>
      </c>
      <c r="K11" s="151" t="s">
        <v>558</v>
      </c>
      <c r="L11" s="140">
        <v>0</v>
      </c>
      <c r="M11" s="168" t="s">
        <v>164</v>
      </c>
      <c r="O11" s="152" t="s">
        <v>571</v>
      </c>
      <c r="P11" s="140">
        <v>1</v>
      </c>
      <c r="Q11" s="152" t="s">
        <v>464</v>
      </c>
      <c r="S11" s="145" t="s">
        <v>372</v>
      </c>
      <c r="T11" s="143"/>
      <c r="U11" s="152" t="s">
        <v>265</v>
      </c>
    </row>
    <row r="12" spans="1:23" ht="62.45" customHeight="1" thickBot="1" x14ac:dyDescent="0.25">
      <c r="C12" s="151" t="s">
        <v>523</v>
      </c>
      <c r="D12" s="140">
        <v>0</v>
      </c>
      <c r="E12" s="152" t="s">
        <v>456</v>
      </c>
      <c r="H12" s="140"/>
      <c r="L12" s="147"/>
      <c r="M12" s="158"/>
      <c r="O12" s="152" t="s">
        <v>572</v>
      </c>
      <c r="P12" s="140">
        <v>0</v>
      </c>
      <c r="Q12" s="152" t="s">
        <v>164</v>
      </c>
      <c r="S12" s="145" t="s">
        <v>371</v>
      </c>
      <c r="T12" s="143"/>
      <c r="U12" s="152" t="s">
        <v>264</v>
      </c>
    </row>
    <row r="13" spans="1:23" ht="68.45" customHeight="1" thickBot="1" x14ac:dyDescent="0.25">
      <c r="D13" s="140"/>
      <c r="G13" s="137" t="s">
        <v>382</v>
      </c>
      <c r="H13" s="140"/>
      <c r="I13" s="164" t="s">
        <v>165</v>
      </c>
      <c r="K13" s="160" t="s">
        <v>217</v>
      </c>
      <c r="L13" s="147"/>
      <c r="M13" s="141" t="s">
        <v>165</v>
      </c>
      <c r="P13" s="147"/>
      <c r="S13" s="147"/>
    </row>
    <row r="14" spans="1:23" ht="113.45" customHeight="1" thickBot="1" x14ac:dyDescent="0.25">
      <c r="A14" s="164" t="s">
        <v>151</v>
      </c>
      <c r="C14" s="161" t="s">
        <v>608</v>
      </c>
      <c r="D14" s="139"/>
      <c r="E14" s="162"/>
      <c r="G14" s="152" t="s">
        <v>619</v>
      </c>
      <c r="H14" s="140">
        <v>3</v>
      </c>
      <c r="I14" s="152" t="s">
        <v>465</v>
      </c>
      <c r="K14" s="165" t="s">
        <v>630</v>
      </c>
      <c r="L14" s="140">
        <v>3</v>
      </c>
      <c r="M14" s="152" t="s">
        <v>460</v>
      </c>
      <c r="O14" s="169" t="s">
        <v>575</v>
      </c>
      <c r="P14" s="140"/>
      <c r="Q14" s="164" t="s">
        <v>165</v>
      </c>
      <c r="S14" s="166" t="s">
        <v>268</v>
      </c>
      <c r="T14" s="143"/>
      <c r="U14" s="144" t="s">
        <v>259</v>
      </c>
    </row>
    <row r="15" spans="1:23" ht="57" customHeight="1" thickBot="1" x14ac:dyDescent="0.25">
      <c r="A15" s="170">
        <v>2021</v>
      </c>
      <c r="C15" s="152" t="s">
        <v>377</v>
      </c>
      <c r="D15" s="140">
        <v>3</v>
      </c>
      <c r="E15" s="152" t="s">
        <v>457</v>
      </c>
      <c r="G15" s="152" t="s">
        <v>662</v>
      </c>
      <c r="H15" s="140">
        <v>2</v>
      </c>
      <c r="I15" s="152" t="s">
        <v>466</v>
      </c>
      <c r="K15" s="165" t="s">
        <v>559</v>
      </c>
      <c r="L15" s="140">
        <v>2</v>
      </c>
      <c r="M15" s="152" t="s">
        <v>220</v>
      </c>
      <c r="O15" s="151" t="s">
        <v>574</v>
      </c>
      <c r="P15" s="140">
        <v>3</v>
      </c>
      <c r="Q15" s="152" t="s">
        <v>225</v>
      </c>
      <c r="S15" s="145" t="s">
        <v>374</v>
      </c>
      <c r="T15" s="143"/>
      <c r="U15" s="152" t="s">
        <v>271</v>
      </c>
    </row>
    <row r="16" spans="1:23" ht="113.1" customHeight="1" thickBot="1" x14ac:dyDescent="0.25">
      <c r="A16" s="170">
        <v>2022</v>
      </c>
      <c r="C16" s="152" t="s">
        <v>378</v>
      </c>
      <c r="D16" s="140">
        <v>2</v>
      </c>
      <c r="E16" s="152" t="s">
        <v>457</v>
      </c>
      <c r="G16" s="152" t="s">
        <v>664</v>
      </c>
      <c r="H16" s="140">
        <v>1</v>
      </c>
      <c r="I16" s="152" t="s">
        <v>467</v>
      </c>
      <c r="K16" s="151" t="s">
        <v>560</v>
      </c>
      <c r="L16" s="140">
        <v>1</v>
      </c>
      <c r="M16" s="152" t="s">
        <v>219</v>
      </c>
      <c r="O16" s="151" t="s">
        <v>634</v>
      </c>
      <c r="P16" s="140">
        <v>1</v>
      </c>
      <c r="Q16" s="152" t="s">
        <v>224</v>
      </c>
      <c r="S16" s="145" t="s">
        <v>373</v>
      </c>
      <c r="T16" s="143"/>
      <c r="U16" s="152" t="s">
        <v>429</v>
      </c>
    </row>
    <row r="17" spans="1:21" ht="72.599999999999994" customHeight="1" thickBot="1" x14ac:dyDescent="0.25">
      <c r="A17" s="170">
        <v>2023</v>
      </c>
      <c r="C17" s="152" t="s">
        <v>379</v>
      </c>
      <c r="D17" s="140">
        <v>0</v>
      </c>
      <c r="E17" s="157" t="s">
        <v>164</v>
      </c>
      <c r="G17" s="152" t="s">
        <v>663</v>
      </c>
      <c r="H17" s="140">
        <v>0</v>
      </c>
      <c r="I17" s="152" t="s">
        <v>468</v>
      </c>
      <c r="K17" s="152" t="s">
        <v>218</v>
      </c>
      <c r="L17" s="140">
        <v>0</v>
      </c>
      <c r="M17" s="152" t="s">
        <v>164</v>
      </c>
      <c r="O17" s="151" t="s">
        <v>633</v>
      </c>
      <c r="P17" s="140">
        <v>0</v>
      </c>
      <c r="Q17" s="152" t="s">
        <v>164</v>
      </c>
      <c r="S17" s="145" t="s">
        <v>372</v>
      </c>
      <c r="T17" s="143"/>
      <c r="U17" s="152" t="s">
        <v>270</v>
      </c>
    </row>
    <row r="18" spans="1:21" ht="106.35" customHeight="1" thickBot="1" x14ac:dyDescent="0.25">
      <c r="A18" s="170">
        <v>2024</v>
      </c>
      <c r="C18" s="161" t="s">
        <v>609</v>
      </c>
      <c r="D18" s="139"/>
      <c r="E18" s="162"/>
      <c r="G18" s="171"/>
      <c r="H18" s="140"/>
      <c r="K18" s="171"/>
      <c r="L18" s="147"/>
      <c r="M18" s="158"/>
      <c r="P18" s="147"/>
      <c r="S18" s="145" t="s">
        <v>371</v>
      </c>
      <c r="T18" s="143"/>
      <c r="U18" s="152" t="s">
        <v>269</v>
      </c>
    </row>
    <row r="19" spans="1:21" ht="68.099999999999994" customHeight="1" thickBot="1" x14ac:dyDescent="0.25">
      <c r="A19" s="170">
        <v>2025</v>
      </c>
      <c r="C19" s="151" t="s">
        <v>613</v>
      </c>
      <c r="D19" s="140">
        <v>3</v>
      </c>
      <c r="E19" s="152" t="s">
        <v>244</v>
      </c>
      <c r="G19" s="137" t="s">
        <v>167</v>
      </c>
      <c r="H19" s="140"/>
      <c r="I19" s="164" t="s">
        <v>165</v>
      </c>
      <c r="K19" s="160" t="s">
        <v>390</v>
      </c>
      <c r="L19" s="147"/>
      <c r="M19" s="141" t="s">
        <v>165</v>
      </c>
      <c r="O19" s="161" t="s">
        <v>607</v>
      </c>
      <c r="P19" s="140"/>
      <c r="Q19" s="164" t="s">
        <v>165</v>
      </c>
      <c r="S19" s="147"/>
    </row>
    <row r="20" spans="1:21" ht="113.1" customHeight="1" thickBot="1" x14ac:dyDescent="0.25">
      <c r="A20" s="170">
        <v>2026</v>
      </c>
      <c r="C20" s="151" t="s">
        <v>524</v>
      </c>
      <c r="D20" s="140">
        <v>2</v>
      </c>
      <c r="E20" s="152" t="s">
        <v>245</v>
      </c>
      <c r="G20" s="152" t="s">
        <v>539</v>
      </c>
      <c r="H20" s="140">
        <v>3</v>
      </c>
      <c r="I20" s="152" t="s">
        <v>421</v>
      </c>
      <c r="K20" s="165" t="s">
        <v>561</v>
      </c>
      <c r="L20" s="140">
        <v>3</v>
      </c>
      <c r="M20" s="151" t="s">
        <v>562</v>
      </c>
      <c r="O20" s="172" t="s">
        <v>596</v>
      </c>
      <c r="P20" s="153">
        <v>3</v>
      </c>
      <c r="Q20" s="151" t="s">
        <v>394</v>
      </c>
      <c r="S20" s="166" t="s">
        <v>272</v>
      </c>
      <c r="T20" s="143"/>
      <c r="U20" s="144" t="s">
        <v>259</v>
      </c>
    </row>
    <row r="21" spans="1:21" ht="108" customHeight="1" thickBot="1" x14ac:dyDescent="0.25">
      <c r="A21" s="170">
        <v>2027</v>
      </c>
      <c r="C21" s="151" t="s">
        <v>525</v>
      </c>
      <c r="D21" s="140">
        <v>1</v>
      </c>
      <c r="E21" s="152" t="s">
        <v>236</v>
      </c>
      <c r="G21" s="152" t="s">
        <v>517</v>
      </c>
      <c r="H21" s="140">
        <v>2</v>
      </c>
      <c r="I21" s="152" t="s">
        <v>422</v>
      </c>
      <c r="K21" s="165" t="s">
        <v>631</v>
      </c>
      <c r="L21" s="140">
        <v>2</v>
      </c>
      <c r="M21" s="152" t="s">
        <v>391</v>
      </c>
      <c r="O21" s="173" t="s">
        <v>597</v>
      </c>
      <c r="P21" s="153">
        <v>2</v>
      </c>
      <c r="Q21" s="151" t="s">
        <v>226</v>
      </c>
      <c r="S21" s="145" t="s">
        <v>374</v>
      </c>
      <c r="T21" s="143"/>
      <c r="U21" s="152" t="s">
        <v>276</v>
      </c>
    </row>
    <row r="22" spans="1:21" ht="70.349999999999994" customHeight="1" thickBot="1" x14ac:dyDescent="0.25">
      <c r="A22" s="170">
        <v>2028</v>
      </c>
      <c r="C22" s="151" t="s">
        <v>526</v>
      </c>
      <c r="D22" s="140">
        <v>0</v>
      </c>
      <c r="E22" s="157" t="s">
        <v>164</v>
      </c>
      <c r="G22" s="152" t="s">
        <v>516</v>
      </c>
      <c r="H22" s="140">
        <v>1</v>
      </c>
      <c r="I22" s="152" t="s">
        <v>423</v>
      </c>
      <c r="K22" s="165" t="s">
        <v>563</v>
      </c>
      <c r="L22" s="140">
        <v>1</v>
      </c>
      <c r="M22" s="152" t="s">
        <v>392</v>
      </c>
      <c r="O22" s="174" t="s">
        <v>576</v>
      </c>
      <c r="P22" s="153">
        <v>1</v>
      </c>
      <c r="Q22" s="151" t="s">
        <v>254</v>
      </c>
      <c r="S22" s="145" t="s">
        <v>373</v>
      </c>
      <c r="T22" s="143"/>
      <c r="U22" s="152" t="s">
        <v>275</v>
      </c>
    </row>
    <row r="23" spans="1:21" ht="69" customHeight="1" thickBot="1" x14ac:dyDescent="0.25">
      <c r="A23" s="170">
        <v>2029</v>
      </c>
      <c r="D23" s="140"/>
      <c r="G23" s="151" t="s">
        <v>540</v>
      </c>
      <c r="H23" s="140">
        <v>0</v>
      </c>
      <c r="I23" s="152" t="s">
        <v>164</v>
      </c>
      <c r="K23" s="152" t="s">
        <v>246</v>
      </c>
      <c r="L23" s="140">
        <v>0</v>
      </c>
      <c r="M23" s="168" t="s">
        <v>164</v>
      </c>
      <c r="O23" s="151" t="s">
        <v>577</v>
      </c>
      <c r="P23" s="153">
        <v>0</v>
      </c>
      <c r="Q23" s="151" t="s">
        <v>164</v>
      </c>
      <c r="S23" s="145" t="s">
        <v>372</v>
      </c>
      <c r="T23" s="143"/>
      <c r="U23" s="152" t="s">
        <v>274</v>
      </c>
    </row>
    <row r="24" spans="1:21" ht="59.1" customHeight="1" thickBot="1" x14ac:dyDescent="0.25">
      <c r="A24" s="170">
        <v>2030</v>
      </c>
      <c r="C24" s="161" t="s">
        <v>527</v>
      </c>
      <c r="D24" s="139"/>
      <c r="E24" s="162"/>
      <c r="H24" s="140"/>
      <c r="L24" s="147"/>
      <c r="P24" s="147"/>
      <c r="S24" s="145" t="s">
        <v>371</v>
      </c>
      <c r="T24" s="143"/>
      <c r="U24" s="152" t="s">
        <v>273</v>
      </c>
    </row>
    <row r="25" spans="1:21" ht="72.599999999999994" customHeight="1" thickBot="1" x14ac:dyDescent="0.25">
      <c r="C25" s="151" t="s">
        <v>614</v>
      </c>
      <c r="D25" s="140">
        <v>3</v>
      </c>
      <c r="E25" s="152" t="s">
        <v>416</v>
      </c>
      <c r="G25" s="137" t="s">
        <v>168</v>
      </c>
      <c r="H25" s="140"/>
      <c r="I25" s="164" t="s">
        <v>165</v>
      </c>
      <c r="K25" s="160" t="s">
        <v>171</v>
      </c>
      <c r="L25" s="147"/>
      <c r="M25" s="164" t="s">
        <v>165</v>
      </c>
      <c r="O25" s="161" t="s">
        <v>578</v>
      </c>
      <c r="P25" s="140"/>
      <c r="Q25" s="164" t="s">
        <v>165</v>
      </c>
      <c r="S25" s="147"/>
    </row>
    <row r="26" spans="1:21" ht="99" customHeight="1" thickBot="1" x14ac:dyDescent="0.25">
      <c r="A26" s="175" t="s">
        <v>144</v>
      </c>
      <c r="C26" s="152" t="s">
        <v>415</v>
      </c>
      <c r="D26" s="140">
        <v>2</v>
      </c>
      <c r="E26" s="152" t="s">
        <v>417</v>
      </c>
      <c r="G26" s="151" t="s">
        <v>620</v>
      </c>
      <c r="H26" s="140">
        <v>3</v>
      </c>
      <c r="I26" s="152" t="s">
        <v>541</v>
      </c>
      <c r="K26" s="165" t="s">
        <v>632</v>
      </c>
      <c r="L26" s="140">
        <v>3</v>
      </c>
      <c r="M26" s="152" t="s">
        <v>425</v>
      </c>
      <c r="O26" s="148" t="s">
        <v>579</v>
      </c>
      <c r="P26" s="153">
        <v>3</v>
      </c>
      <c r="Q26" s="151" t="s">
        <v>643</v>
      </c>
      <c r="S26" s="176" t="s">
        <v>277</v>
      </c>
      <c r="T26" s="143"/>
      <c r="U26" s="177" t="s">
        <v>259</v>
      </c>
    </row>
    <row r="27" spans="1:21" ht="122.1" customHeight="1" thickBot="1" x14ac:dyDescent="0.25">
      <c r="A27" s="152" t="s">
        <v>160</v>
      </c>
      <c r="C27" s="152" t="s">
        <v>414</v>
      </c>
      <c r="D27" s="140">
        <v>1</v>
      </c>
      <c r="E27" s="152" t="s">
        <v>418</v>
      </c>
      <c r="G27" s="151" t="s">
        <v>621</v>
      </c>
      <c r="H27" s="140">
        <v>2</v>
      </c>
      <c r="I27" s="152" t="s">
        <v>209</v>
      </c>
      <c r="K27" s="165" t="s">
        <v>564</v>
      </c>
      <c r="L27" s="140">
        <v>2</v>
      </c>
      <c r="M27" s="152" t="s">
        <v>393</v>
      </c>
      <c r="O27" s="174" t="s">
        <v>580</v>
      </c>
      <c r="P27" s="153">
        <v>2</v>
      </c>
      <c r="Q27" s="151" t="s">
        <v>643</v>
      </c>
      <c r="S27" s="145" t="s">
        <v>374</v>
      </c>
      <c r="T27" s="143"/>
      <c r="U27" s="152" t="s">
        <v>284</v>
      </c>
    </row>
    <row r="28" spans="1:21" ht="119.45" customHeight="1" thickBot="1" x14ac:dyDescent="0.25">
      <c r="A28" s="152" t="s">
        <v>262</v>
      </c>
      <c r="C28" s="152" t="s">
        <v>380</v>
      </c>
      <c r="D28" s="140">
        <v>0</v>
      </c>
      <c r="E28" s="152" t="s">
        <v>164</v>
      </c>
      <c r="G28" s="151" t="s">
        <v>622</v>
      </c>
      <c r="H28" s="140">
        <v>1</v>
      </c>
      <c r="I28" s="152" t="s">
        <v>208</v>
      </c>
      <c r="K28" s="165" t="s">
        <v>565</v>
      </c>
      <c r="L28" s="140">
        <v>1</v>
      </c>
      <c r="M28" s="152" t="s">
        <v>468</v>
      </c>
      <c r="O28" s="174" t="s">
        <v>581</v>
      </c>
      <c r="P28" s="153">
        <v>1</v>
      </c>
      <c r="Q28" s="151" t="s">
        <v>644</v>
      </c>
      <c r="S28" s="145" t="s">
        <v>373</v>
      </c>
      <c r="T28" s="143"/>
      <c r="U28" s="152" t="s">
        <v>283</v>
      </c>
    </row>
    <row r="29" spans="1:21" ht="83.45" customHeight="1" thickBot="1" x14ac:dyDescent="0.25">
      <c r="A29" s="152" t="s">
        <v>204</v>
      </c>
      <c r="D29" s="140"/>
      <c r="G29" s="151" t="s">
        <v>623</v>
      </c>
      <c r="H29" s="140">
        <v>0</v>
      </c>
      <c r="I29" s="152" t="s">
        <v>207</v>
      </c>
      <c r="K29" s="178" t="s">
        <v>566</v>
      </c>
      <c r="L29" s="140">
        <v>0</v>
      </c>
      <c r="M29" s="152" t="s">
        <v>468</v>
      </c>
      <c r="O29" s="174" t="s">
        <v>582</v>
      </c>
      <c r="P29" s="153">
        <v>0</v>
      </c>
      <c r="Q29" s="151" t="s">
        <v>255</v>
      </c>
      <c r="S29" s="145" t="s">
        <v>372</v>
      </c>
      <c r="T29" s="143"/>
      <c r="U29" s="152" t="s">
        <v>282</v>
      </c>
    </row>
    <row r="30" spans="1:21" ht="72" customHeight="1" thickBot="1" x14ac:dyDescent="0.25">
      <c r="A30" s="152" t="s">
        <v>370</v>
      </c>
      <c r="C30" s="161" t="s">
        <v>381</v>
      </c>
      <c r="D30" s="139"/>
      <c r="E30" s="162"/>
      <c r="H30" s="140"/>
      <c r="L30" s="147"/>
      <c r="P30" s="147"/>
      <c r="S30" s="145" t="s">
        <v>371</v>
      </c>
      <c r="T30" s="143"/>
      <c r="U30" s="152" t="s">
        <v>430</v>
      </c>
    </row>
    <row r="31" spans="1:21" ht="63" customHeight="1" thickBot="1" x14ac:dyDescent="0.25">
      <c r="C31" s="152" t="s">
        <v>615</v>
      </c>
      <c r="D31" s="140">
        <v>3</v>
      </c>
      <c r="E31" s="152" t="s">
        <v>419</v>
      </c>
      <c r="G31" s="137" t="s">
        <v>329</v>
      </c>
      <c r="H31" s="140"/>
      <c r="I31" s="164" t="s">
        <v>165</v>
      </c>
      <c r="O31" s="161" t="s">
        <v>395</v>
      </c>
      <c r="P31" s="140"/>
      <c r="Q31" s="164" t="s">
        <v>165</v>
      </c>
      <c r="S31" s="147"/>
    </row>
    <row r="32" spans="1:21" ht="71.45" customHeight="1" thickBot="1" x14ac:dyDescent="0.25">
      <c r="A32" s="161" t="s">
        <v>162</v>
      </c>
      <c r="C32" s="152" t="s">
        <v>240</v>
      </c>
      <c r="D32" s="140">
        <v>2</v>
      </c>
      <c r="E32" s="152" t="s">
        <v>238</v>
      </c>
      <c r="G32" s="151" t="s">
        <v>542</v>
      </c>
      <c r="H32" s="140">
        <v>3</v>
      </c>
      <c r="I32" s="152" t="s">
        <v>469</v>
      </c>
      <c r="O32" s="151" t="s">
        <v>583</v>
      </c>
      <c r="P32" s="153">
        <v>3</v>
      </c>
      <c r="Q32" s="151" t="s">
        <v>584</v>
      </c>
      <c r="S32" s="176" t="s">
        <v>281</v>
      </c>
      <c r="T32" s="143"/>
      <c r="U32" s="177" t="s">
        <v>259</v>
      </c>
    </row>
    <row r="33" spans="1:21" ht="63.6" customHeight="1" thickBot="1" x14ac:dyDescent="0.25">
      <c r="A33" s="170">
        <v>1</v>
      </c>
      <c r="C33" s="152" t="s">
        <v>239</v>
      </c>
      <c r="D33" s="140">
        <v>1</v>
      </c>
      <c r="E33" s="152" t="s">
        <v>237</v>
      </c>
      <c r="G33" s="151" t="s">
        <v>543</v>
      </c>
      <c r="H33" s="140">
        <v>2</v>
      </c>
      <c r="I33" s="152" t="s">
        <v>470</v>
      </c>
      <c r="O33" s="151" t="s">
        <v>585</v>
      </c>
      <c r="P33" s="153">
        <v>2</v>
      </c>
      <c r="Q33" s="151" t="s">
        <v>586</v>
      </c>
      <c r="S33" s="145" t="s">
        <v>374</v>
      </c>
      <c r="T33" s="143"/>
      <c r="U33" s="152" t="s">
        <v>432</v>
      </c>
    </row>
    <row r="34" spans="1:21" ht="64.349999999999994" customHeight="1" thickBot="1" x14ac:dyDescent="0.25">
      <c r="A34" s="170">
        <v>2</v>
      </c>
      <c r="C34" s="152" t="s">
        <v>241</v>
      </c>
      <c r="D34" s="140">
        <v>0</v>
      </c>
      <c r="E34" s="157" t="s">
        <v>164</v>
      </c>
      <c r="G34" s="151" t="s">
        <v>544</v>
      </c>
      <c r="H34" s="140">
        <v>1</v>
      </c>
      <c r="I34" s="152" t="s">
        <v>471</v>
      </c>
      <c r="O34" s="151" t="s">
        <v>635</v>
      </c>
      <c r="P34" s="153">
        <v>1</v>
      </c>
      <c r="Q34" s="151" t="s">
        <v>587</v>
      </c>
      <c r="S34" s="145" t="s">
        <v>373</v>
      </c>
      <c r="T34" s="143"/>
      <c r="U34" s="152" t="s">
        <v>279</v>
      </c>
    </row>
    <row r="35" spans="1:21" ht="52.35" customHeight="1" thickBot="1" x14ac:dyDescent="0.25">
      <c r="A35" s="170">
        <v>3</v>
      </c>
      <c r="D35" s="140"/>
      <c r="G35" s="152" t="s">
        <v>210</v>
      </c>
      <c r="H35" s="140">
        <v>0</v>
      </c>
      <c r="I35" s="152" t="s">
        <v>468</v>
      </c>
      <c r="O35" s="151" t="s">
        <v>636</v>
      </c>
      <c r="P35" s="153">
        <v>0</v>
      </c>
      <c r="Q35" s="151" t="s">
        <v>396</v>
      </c>
      <c r="S35" s="145" t="s">
        <v>372</v>
      </c>
      <c r="T35" s="143"/>
      <c r="U35" s="152" t="s">
        <v>278</v>
      </c>
    </row>
    <row r="36" spans="1:21" ht="83.1" customHeight="1" thickBot="1" x14ac:dyDescent="0.25">
      <c r="C36" s="161" t="s">
        <v>189</v>
      </c>
      <c r="D36" s="139"/>
      <c r="E36" s="162"/>
      <c r="H36" s="140"/>
      <c r="P36" s="147"/>
      <c r="S36" s="145" t="s">
        <v>371</v>
      </c>
      <c r="T36" s="143"/>
      <c r="U36" s="152" t="s">
        <v>280</v>
      </c>
    </row>
    <row r="37" spans="1:21" ht="68.45" customHeight="1" thickBot="1" x14ac:dyDescent="0.25">
      <c r="A37" s="137" t="s">
        <v>192</v>
      </c>
      <c r="C37" s="179" t="s">
        <v>529</v>
      </c>
      <c r="D37" s="140">
        <v>2</v>
      </c>
      <c r="E37" s="180" t="s">
        <v>528</v>
      </c>
      <c r="G37" s="137" t="s">
        <v>383</v>
      </c>
      <c r="H37" s="140"/>
      <c r="I37" s="164" t="s">
        <v>165</v>
      </c>
      <c r="O37" s="161" t="s">
        <v>397</v>
      </c>
      <c r="P37" s="140"/>
      <c r="Q37" s="164" t="s">
        <v>165</v>
      </c>
      <c r="S37" s="147"/>
    </row>
    <row r="38" spans="1:21" ht="88.35" customHeight="1" thickBot="1" x14ac:dyDescent="0.25">
      <c r="A38" s="181">
        <v>0</v>
      </c>
      <c r="C38" s="179" t="s">
        <v>616</v>
      </c>
      <c r="D38" s="140">
        <v>0</v>
      </c>
      <c r="E38" s="157" t="s">
        <v>164</v>
      </c>
      <c r="G38" s="151" t="s">
        <v>624</v>
      </c>
      <c r="H38" s="140">
        <v>3</v>
      </c>
      <c r="I38" s="152" t="s">
        <v>625</v>
      </c>
      <c r="O38" s="179" t="s">
        <v>637</v>
      </c>
      <c r="P38" s="140">
        <v>3</v>
      </c>
      <c r="Q38" s="152" t="s">
        <v>426</v>
      </c>
      <c r="S38" s="176" t="s">
        <v>285</v>
      </c>
      <c r="T38" s="143"/>
      <c r="U38" s="177" t="s">
        <v>259</v>
      </c>
    </row>
    <row r="39" spans="1:21" ht="76.349999999999994" customHeight="1" thickBot="1" x14ac:dyDescent="0.25">
      <c r="A39" s="181">
        <v>1</v>
      </c>
      <c r="D39" s="140"/>
      <c r="G39" s="151" t="s">
        <v>626</v>
      </c>
      <c r="H39" s="140">
        <v>2</v>
      </c>
      <c r="I39" s="152" t="s">
        <v>625</v>
      </c>
      <c r="O39" s="179" t="s">
        <v>588</v>
      </c>
      <c r="P39" s="140">
        <v>1</v>
      </c>
      <c r="Q39" s="152" t="s">
        <v>426</v>
      </c>
      <c r="S39" s="145" t="s">
        <v>374</v>
      </c>
      <c r="T39" s="143"/>
      <c r="U39" s="152" t="s">
        <v>431</v>
      </c>
    </row>
    <row r="40" spans="1:21" ht="63.6" customHeight="1" thickBot="1" x14ac:dyDescent="0.25">
      <c r="A40" s="181">
        <v>2</v>
      </c>
      <c r="C40" s="161" t="s">
        <v>154</v>
      </c>
      <c r="D40" s="139"/>
      <c r="E40" s="162"/>
      <c r="G40" s="179" t="s">
        <v>628</v>
      </c>
      <c r="H40" s="140">
        <v>1</v>
      </c>
      <c r="I40" s="152" t="s">
        <v>627</v>
      </c>
      <c r="O40" s="152" t="s">
        <v>398</v>
      </c>
      <c r="P40" s="140">
        <v>0</v>
      </c>
      <c r="Q40" s="152" t="s">
        <v>164</v>
      </c>
      <c r="S40" s="145" t="s">
        <v>373</v>
      </c>
      <c r="T40" s="143"/>
      <c r="U40" s="152" t="s">
        <v>290</v>
      </c>
    </row>
    <row r="41" spans="1:21" ht="65.45" customHeight="1" thickBot="1" x14ac:dyDescent="0.25">
      <c r="A41" s="181">
        <v>3</v>
      </c>
      <c r="C41" s="152" t="s">
        <v>532</v>
      </c>
      <c r="D41" s="140">
        <v>3</v>
      </c>
      <c r="E41" s="152" t="s">
        <v>242</v>
      </c>
      <c r="G41" s="152" t="s">
        <v>545</v>
      </c>
      <c r="H41" s="140">
        <v>0</v>
      </c>
      <c r="I41" s="152" t="s">
        <v>164</v>
      </c>
      <c r="P41" s="140"/>
      <c r="S41" s="145" t="s">
        <v>372</v>
      </c>
      <c r="T41" s="143"/>
      <c r="U41" s="152" t="s">
        <v>287</v>
      </c>
    </row>
    <row r="42" spans="1:21" ht="54" customHeight="1" thickBot="1" x14ac:dyDescent="0.25">
      <c r="C42" s="152" t="s">
        <v>533</v>
      </c>
      <c r="D42" s="140">
        <v>2</v>
      </c>
      <c r="E42" s="152" t="s">
        <v>243</v>
      </c>
      <c r="H42" s="140"/>
      <c r="O42" s="161" t="s">
        <v>589</v>
      </c>
      <c r="P42" s="140"/>
      <c r="Q42" s="164" t="s">
        <v>165</v>
      </c>
      <c r="S42" s="145" t="s">
        <v>371</v>
      </c>
      <c r="T42" s="143"/>
      <c r="U42" s="152" t="s">
        <v>286</v>
      </c>
    </row>
    <row r="43" spans="1:21" ht="122.1" customHeight="1" thickBot="1" x14ac:dyDescent="0.25">
      <c r="A43" s="137" t="s">
        <v>193</v>
      </c>
      <c r="C43" s="152" t="s">
        <v>531</v>
      </c>
      <c r="D43" s="140">
        <v>1</v>
      </c>
      <c r="E43" s="152" t="s">
        <v>420</v>
      </c>
      <c r="G43" s="137" t="s">
        <v>384</v>
      </c>
      <c r="H43" s="140"/>
      <c r="I43" s="164" t="s">
        <v>165</v>
      </c>
      <c r="O43" s="151" t="s">
        <v>590</v>
      </c>
      <c r="P43" s="140">
        <v>3</v>
      </c>
      <c r="Q43" s="152" t="s">
        <v>233</v>
      </c>
      <c r="S43" s="147"/>
    </row>
    <row r="44" spans="1:21" ht="85.35" customHeight="1" thickBot="1" x14ac:dyDescent="0.25">
      <c r="A44" s="150" t="s">
        <v>194</v>
      </c>
      <c r="C44" s="152" t="s">
        <v>530</v>
      </c>
      <c r="D44" s="140">
        <v>0</v>
      </c>
      <c r="E44" s="152" t="s">
        <v>164</v>
      </c>
      <c r="G44" s="151" t="s">
        <v>546</v>
      </c>
      <c r="H44" s="153">
        <v>3</v>
      </c>
      <c r="I44" s="151" t="s">
        <v>547</v>
      </c>
      <c r="O44" s="151" t="s">
        <v>591</v>
      </c>
      <c r="P44" s="140">
        <v>1</v>
      </c>
      <c r="Q44" s="152" t="s">
        <v>232</v>
      </c>
      <c r="S44" s="176" t="s">
        <v>289</v>
      </c>
      <c r="T44" s="143"/>
      <c r="U44" s="177" t="s">
        <v>259</v>
      </c>
    </row>
    <row r="45" spans="1:21" ht="84.6" customHeight="1" thickBot="1" x14ac:dyDescent="0.25">
      <c r="A45" s="150" t="s">
        <v>195</v>
      </c>
      <c r="G45" s="151" t="s">
        <v>548</v>
      </c>
      <c r="H45" s="153">
        <v>2</v>
      </c>
      <c r="I45" s="151" t="s">
        <v>549</v>
      </c>
      <c r="O45" s="151" t="s">
        <v>592</v>
      </c>
      <c r="P45" s="140">
        <v>0</v>
      </c>
      <c r="Q45" s="152" t="s">
        <v>164</v>
      </c>
      <c r="S45" s="145" t="s">
        <v>374</v>
      </c>
      <c r="T45" s="143"/>
      <c r="U45" s="152" t="s">
        <v>293</v>
      </c>
    </row>
    <row r="46" spans="1:21" ht="105.6" customHeight="1" thickBot="1" x14ac:dyDescent="0.25">
      <c r="A46" s="150" t="s">
        <v>196</v>
      </c>
      <c r="G46" s="151" t="s">
        <v>629</v>
      </c>
      <c r="H46" s="153">
        <v>1</v>
      </c>
      <c r="I46" s="151" t="s">
        <v>385</v>
      </c>
      <c r="P46" s="147"/>
      <c r="S46" s="145" t="s">
        <v>373</v>
      </c>
      <c r="T46" s="143"/>
      <c r="U46" s="152" t="s">
        <v>288</v>
      </c>
    </row>
    <row r="47" spans="1:21" ht="88.35" customHeight="1" thickBot="1" x14ac:dyDescent="0.25">
      <c r="A47" s="181" t="s">
        <v>197</v>
      </c>
      <c r="G47" s="151" t="s">
        <v>550</v>
      </c>
      <c r="H47" s="153">
        <v>0</v>
      </c>
      <c r="I47" s="151" t="s">
        <v>164</v>
      </c>
      <c r="O47" s="161" t="s">
        <v>595</v>
      </c>
      <c r="P47" s="140"/>
      <c r="Q47" s="164" t="s">
        <v>165</v>
      </c>
      <c r="S47" s="145" t="s">
        <v>372</v>
      </c>
      <c r="T47" s="143"/>
      <c r="U47" s="152" t="s">
        <v>292</v>
      </c>
    </row>
    <row r="48" spans="1:21" ht="77.099999999999994" customHeight="1" thickBot="1" x14ac:dyDescent="0.25">
      <c r="A48" s="181"/>
      <c r="H48" s="140"/>
      <c r="O48" s="151" t="s">
        <v>593</v>
      </c>
      <c r="P48" s="153">
        <v>2</v>
      </c>
      <c r="Q48" s="151" t="s">
        <v>638</v>
      </c>
      <c r="S48" s="145" t="s">
        <v>371</v>
      </c>
      <c r="T48" s="143"/>
      <c r="U48" s="152" t="s">
        <v>291</v>
      </c>
    </row>
    <row r="49" spans="1:21" ht="64.349999999999994" customHeight="1" thickBot="1" x14ac:dyDescent="0.25">
      <c r="A49" s="137" t="s">
        <v>200</v>
      </c>
      <c r="G49" s="137" t="s">
        <v>650</v>
      </c>
      <c r="H49" s="140"/>
      <c r="I49" s="164" t="s">
        <v>165</v>
      </c>
      <c r="O49" s="151" t="s">
        <v>399</v>
      </c>
      <c r="P49" s="153">
        <v>1</v>
      </c>
      <c r="Q49" s="151" t="s">
        <v>638</v>
      </c>
      <c r="S49" s="147"/>
    </row>
    <row r="50" spans="1:21" ht="68.45" customHeight="1" thickBot="1" x14ac:dyDescent="0.25">
      <c r="A50" s="150" t="s">
        <v>477</v>
      </c>
      <c r="G50" s="151" t="s">
        <v>551</v>
      </c>
      <c r="H50" s="153">
        <v>3</v>
      </c>
      <c r="I50" s="151" t="s">
        <v>386</v>
      </c>
      <c r="O50" s="151" t="s">
        <v>594</v>
      </c>
      <c r="P50" s="153">
        <v>0</v>
      </c>
      <c r="Q50" s="151" t="s">
        <v>164</v>
      </c>
      <c r="S50" s="182" t="s">
        <v>294</v>
      </c>
      <c r="T50" s="143"/>
      <c r="U50" s="183" t="s">
        <v>259</v>
      </c>
    </row>
    <row r="51" spans="1:21" ht="45.6" customHeight="1" thickBot="1" x14ac:dyDescent="0.25">
      <c r="A51" s="181" t="s">
        <v>115</v>
      </c>
      <c r="G51" s="151" t="s">
        <v>552</v>
      </c>
      <c r="H51" s="153">
        <v>2</v>
      </c>
      <c r="I51" s="151" t="s">
        <v>386</v>
      </c>
      <c r="P51" s="147"/>
      <c r="S51" s="145" t="s">
        <v>374</v>
      </c>
      <c r="T51" s="143"/>
      <c r="U51" s="152" t="s">
        <v>433</v>
      </c>
    </row>
    <row r="52" spans="1:21" ht="45" customHeight="1" thickBot="1" x14ac:dyDescent="0.25">
      <c r="A52" s="150" t="s">
        <v>116</v>
      </c>
      <c r="G52" s="151" t="s">
        <v>404</v>
      </c>
      <c r="H52" s="153">
        <v>1</v>
      </c>
      <c r="I52" s="151" t="s">
        <v>387</v>
      </c>
      <c r="P52" s="147"/>
      <c r="S52" s="145" t="s">
        <v>373</v>
      </c>
      <c r="T52" s="143"/>
      <c r="U52" s="152" t="s">
        <v>297</v>
      </c>
    </row>
    <row r="53" spans="1:21" ht="47.45" customHeight="1" thickBot="1" x14ac:dyDescent="0.25">
      <c r="A53" s="150" t="s">
        <v>117</v>
      </c>
      <c r="G53" s="151" t="s">
        <v>405</v>
      </c>
      <c r="H53" s="153">
        <v>0</v>
      </c>
      <c r="I53" s="151" t="s">
        <v>164</v>
      </c>
      <c r="P53" s="147"/>
      <c r="S53" s="145" t="s">
        <v>372</v>
      </c>
      <c r="T53" s="143"/>
      <c r="U53" s="152" t="s">
        <v>296</v>
      </c>
    </row>
    <row r="54" spans="1:21" ht="30" customHeight="1" thickBot="1" x14ac:dyDescent="0.25">
      <c r="S54" s="145" t="s">
        <v>371</v>
      </c>
      <c r="T54" s="143"/>
      <c r="U54" s="152" t="s">
        <v>295</v>
      </c>
    </row>
    <row r="55" spans="1:21" ht="30" customHeight="1" thickBot="1" x14ac:dyDescent="0.25">
      <c r="S55" s="147"/>
    </row>
    <row r="56" spans="1:21" ht="30" customHeight="1" thickBot="1" x14ac:dyDescent="0.25">
      <c r="A56" s="161" t="s">
        <v>205</v>
      </c>
      <c r="S56" s="182" t="s">
        <v>298</v>
      </c>
      <c r="T56" s="143"/>
      <c r="U56" s="183" t="s">
        <v>259</v>
      </c>
    </row>
    <row r="57" spans="1:21" ht="66.599999999999994" customHeight="1" thickBot="1" x14ac:dyDescent="0.25">
      <c r="A57" s="157" t="s">
        <v>206</v>
      </c>
      <c r="S57" s="145" t="s">
        <v>374</v>
      </c>
      <c r="T57" s="143"/>
      <c r="U57" s="152" t="s">
        <v>302</v>
      </c>
    </row>
    <row r="58" spans="1:21" ht="57.6" customHeight="1" thickBot="1" x14ac:dyDescent="0.25">
      <c r="A58" s="152" t="s">
        <v>370</v>
      </c>
      <c r="S58" s="145" t="s">
        <v>373</v>
      </c>
      <c r="T58" s="143"/>
      <c r="U58" s="152" t="s">
        <v>301</v>
      </c>
    </row>
    <row r="59" spans="1:21" ht="30" customHeight="1" thickBot="1" x14ac:dyDescent="0.25">
      <c r="A59" s="152" t="s">
        <v>256</v>
      </c>
      <c r="S59" s="145" t="s">
        <v>372</v>
      </c>
      <c r="T59" s="143"/>
      <c r="U59" s="152" t="s">
        <v>300</v>
      </c>
    </row>
    <row r="60" spans="1:21" ht="50.1" customHeight="1" thickBot="1" x14ac:dyDescent="0.25">
      <c r="A60" s="164" t="s">
        <v>229</v>
      </c>
      <c r="C60" s="164" t="s">
        <v>500</v>
      </c>
      <c r="S60" s="145" t="s">
        <v>371</v>
      </c>
      <c r="T60" s="143"/>
      <c r="U60" s="152" t="s">
        <v>299</v>
      </c>
    </row>
    <row r="61" spans="1:21" ht="30" customHeight="1" thickBot="1" x14ac:dyDescent="0.25">
      <c r="A61" s="157" t="s">
        <v>111</v>
      </c>
      <c r="C61" s="157" t="s">
        <v>501</v>
      </c>
      <c r="S61" s="147"/>
    </row>
    <row r="62" spans="1:21" ht="30" customHeight="1" thickBot="1" x14ac:dyDescent="0.25">
      <c r="A62" s="157" t="s">
        <v>112</v>
      </c>
      <c r="C62" s="157" t="s">
        <v>502</v>
      </c>
      <c r="S62" s="182" t="s">
        <v>303</v>
      </c>
      <c r="T62" s="143"/>
      <c r="U62" s="183" t="s">
        <v>259</v>
      </c>
    </row>
    <row r="63" spans="1:21" ht="60.6" customHeight="1" thickBot="1" x14ac:dyDescent="0.25">
      <c r="A63" s="184" t="s">
        <v>328</v>
      </c>
      <c r="S63" s="145" t="s">
        <v>374</v>
      </c>
      <c r="T63" s="143"/>
      <c r="U63" s="152" t="s">
        <v>307</v>
      </c>
    </row>
    <row r="64" spans="1:21" ht="48" customHeight="1" thickBot="1" x14ac:dyDescent="0.25">
      <c r="A64" s="185" t="s">
        <v>230</v>
      </c>
      <c r="S64" s="145" t="s">
        <v>373</v>
      </c>
      <c r="T64" s="143"/>
      <c r="U64" s="152" t="s">
        <v>306</v>
      </c>
    </row>
    <row r="65" spans="1:23" ht="50.45" customHeight="1" thickBot="1" x14ac:dyDescent="0.25">
      <c r="A65" s="186" t="s">
        <v>110</v>
      </c>
      <c r="S65" s="145" t="s">
        <v>372</v>
      </c>
      <c r="T65" s="143"/>
      <c r="U65" s="152" t="s">
        <v>305</v>
      </c>
    </row>
    <row r="66" spans="1:23" ht="30" customHeight="1" thickBot="1" x14ac:dyDescent="0.25">
      <c r="A66" s="187" t="s">
        <v>113</v>
      </c>
      <c r="S66" s="145" t="s">
        <v>371</v>
      </c>
      <c r="T66" s="143"/>
      <c r="U66" s="152" t="s">
        <v>304</v>
      </c>
    </row>
    <row r="67" spans="1:23" ht="30" customHeight="1" thickBot="1" x14ac:dyDescent="0.25">
      <c r="A67" s="187" t="s">
        <v>114</v>
      </c>
      <c r="S67" s="147"/>
    </row>
    <row r="68" spans="1:23" ht="30" customHeight="1" thickBot="1" x14ac:dyDescent="0.25">
      <c r="A68" s="188" t="s">
        <v>118</v>
      </c>
      <c r="S68" s="182" t="s">
        <v>308</v>
      </c>
      <c r="T68" s="143"/>
      <c r="U68" s="183" t="s">
        <v>259</v>
      </c>
    </row>
    <row r="69" spans="1:23" ht="30" customHeight="1" thickBot="1" x14ac:dyDescent="0.25">
      <c r="A69" s="189" t="s">
        <v>480</v>
      </c>
      <c r="S69" s="182"/>
      <c r="T69" s="143"/>
      <c r="U69" s="183"/>
    </row>
    <row r="70" spans="1:23" ht="30" customHeight="1" thickBot="1" x14ac:dyDescent="0.25">
      <c r="A70" s="187" t="s">
        <v>195</v>
      </c>
      <c r="S70" s="182"/>
      <c r="T70" s="143"/>
      <c r="U70" s="183"/>
    </row>
    <row r="71" spans="1:23" ht="159.6" customHeight="1" thickBot="1" x14ac:dyDescent="0.25">
      <c r="A71" s="188" t="s">
        <v>196</v>
      </c>
      <c r="S71" s="145" t="s">
        <v>374</v>
      </c>
      <c r="T71" s="143"/>
      <c r="U71" s="152" t="s">
        <v>312</v>
      </c>
    </row>
    <row r="72" spans="1:23" ht="122.1" customHeight="1" thickBot="1" x14ac:dyDescent="0.25">
      <c r="A72" s="135" t="s">
        <v>125</v>
      </c>
      <c r="C72" s="171" t="s">
        <v>126</v>
      </c>
      <c r="E72" s="171" t="s">
        <v>231</v>
      </c>
      <c r="G72" s="171" t="s">
        <v>127</v>
      </c>
      <c r="S72" s="145" t="s">
        <v>373</v>
      </c>
      <c r="T72" s="143"/>
      <c r="U72" s="152" t="s">
        <v>311</v>
      </c>
    </row>
    <row r="73" spans="1:23" ht="86.1" customHeight="1" thickBot="1" x14ac:dyDescent="0.25">
      <c r="A73" s="171" t="s">
        <v>483</v>
      </c>
      <c r="C73" s="190" t="s">
        <v>444</v>
      </c>
      <c r="E73" s="171" t="s">
        <v>598</v>
      </c>
      <c r="G73" s="171" t="s">
        <v>599</v>
      </c>
      <c r="S73" s="145" t="s">
        <v>372</v>
      </c>
      <c r="T73" s="143"/>
      <c r="U73" s="152" t="s">
        <v>310</v>
      </c>
    </row>
    <row r="74" spans="1:23" ht="30" customHeight="1" thickBot="1" x14ac:dyDescent="0.25">
      <c r="A74" s="135" t="s">
        <v>128</v>
      </c>
      <c r="C74" s="190" t="s">
        <v>142</v>
      </c>
      <c r="E74" s="135" t="s">
        <v>131</v>
      </c>
      <c r="G74" s="171" t="s">
        <v>600</v>
      </c>
      <c r="S74" s="145" t="s">
        <v>371</v>
      </c>
      <c r="T74" s="143"/>
      <c r="U74" s="152" t="s">
        <v>309</v>
      </c>
    </row>
    <row r="75" spans="1:23" ht="30" customHeight="1" x14ac:dyDescent="0.2">
      <c r="A75" s="135" t="s">
        <v>129</v>
      </c>
      <c r="C75" s="190" t="s">
        <v>601</v>
      </c>
      <c r="E75" s="171" t="s">
        <v>130</v>
      </c>
      <c r="G75" s="171" t="s">
        <v>602</v>
      </c>
      <c r="S75" s="147"/>
    </row>
    <row r="76" spans="1:23" ht="30" customHeight="1" thickBot="1" x14ac:dyDescent="0.25">
      <c r="A76" s="190" t="s">
        <v>603</v>
      </c>
      <c r="C76" s="190" t="s">
        <v>604</v>
      </c>
      <c r="E76" s="171" t="s">
        <v>490</v>
      </c>
      <c r="G76" s="171" t="s">
        <v>446</v>
      </c>
      <c r="S76" s="191" t="s">
        <v>313</v>
      </c>
      <c r="T76" s="143"/>
      <c r="U76" s="192" t="s">
        <v>259</v>
      </c>
    </row>
    <row r="77" spans="1:23" ht="30" customHeight="1" thickBot="1" x14ac:dyDescent="0.25">
      <c r="A77" s="171" t="s">
        <v>605</v>
      </c>
      <c r="C77" s="190" t="s">
        <v>445</v>
      </c>
      <c r="G77" s="171" t="s">
        <v>484</v>
      </c>
      <c r="S77" s="145" t="s">
        <v>374</v>
      </c>
      <c r="T77" s="143"/>
      <c r="U77" s="152" t="s">
        <v>315</v>
      </c>
    </row>
    <row r="78" spans="1:23" ht="30" customHeight="1" thickBot="1" x14ac:dyDescent="0.25">
      <c r="A78" s="171" t="s">
        <v>606</v>
      </c>
      <c r="C78" s="193" t="s">
        <v>132</v>
      </c>
      <c r="S78" s="145" t="s">
        <v>373</v>
      </c>
      <c r="T78" s="143"/>
      <c r="U78" s="152" t="s">
        <v>314</v>
      </c>
    </row>
    <row r="79" spans="1:23" ht="30" customHeight="1" thickBot="1" x14ac:dyDescent="0.25">
      <c r="S79" s="145" t="s">
        <v>372</v>
      </c>
      <c r="T79" s="143"/>
      <c r="U79" s="152" t="s">
        <v>434</v>
      </c>
    </row>
    <row r="80" spans="1:23" s="194" customFormat="1" ht="30" customHeight="1" thickBot="1" x14ac:dyDescent="0.25">
      <c r="A80" s="435" t="s">
        <v>485</v>
      </c>
      <c r="B80" s="435"/>
      <c r="C80" s="435"/>
      <c r="D80" s="435"/>
      <c r="E80" s="435"/>
      <c r="F80" s="435"/>
      <c r="G80" s="435"/>
      <c r="H80" s="435"/>
      <c r="I80" s="435"/>
      <c r="K80" s="135"/>
      <c r="S80" s="145" t="s">
        <v>371</v>
      </c>
      <c r="T80" s="143"/>
      <c r="U80" s="152" t="s">
        <v>503</v>
      </c>
      <c r="V80" s="135"/>
      <c r="W80" s="135"/>
    </row>
    <row r="81" spans="1:23" s="194" customFormat="1" ht="30" customHeight="1" x14ac:dyDescent="0.2">
      <c r="A81" s="195"/>
      <c r="B81" s="195"/>
      <c r="C81" s="195"/>
      <c r="D81" s="195"/>
      <c r="E81" s="195"/>
      <c r="F81" s="195"/>
      <c r="G81" s="195"/>
      <c r="H81" s="195"/>
      <c r="I81" s="195"/>
      <c r="K81" s="135"/>
      <c r="S81" s="147"/>
      <c r="T81" s="135"/>
      <c r="U81" s="135"/>
      <c r="V81" s="135"/>
      <c r="W81" s="135"/>
    </row>
    <row r="82" spans="1:23" s="194" customFormat="1" ht="30" customHeight="1" thickBot="1" x14ac:dyDescent="0.25">
      <c r="A82" s="196" t="s">
        <v>486</v>
      </c>
      <c r="B82" s="195"/>
      <c r="C82" s="435" t="s">
        <v>487</v>
      </c>
      <c r="D82" s="435"/>
      <c r="E82" s="435"/>
      <c r="F82" s="435"/>
      <c r="G82" s="435"/>
      <c r="H82" s="195"/>
      <c r="I82" s="195"/>
      <c r="K82" s="135"/>
      <c r="S82" s="191" t="s">
        <v>504</v>
      </c>
      <c r="T82" s="143"/>
      <c r="U82" s="192" t="s">
        <v>259</v>
      </c>
      <c r="V82" s="135"/>
      <c r="W82" s="135"/>
    </row>
    <row r="83" spans="1:23" s="194" customFormat="1" ht="30" customHeight="1" thickBot="1" x14ac:dyDescent="0.25">
      <c r="G83" s="197"/>
      <c r="K83" s="135"/>
      <c r="S83" s="145" t="s">
        <v>374</v>
      </c>
      <c r="T83" s="143"/>
      <c r="U83" s="152" t="s">
        <v>505</v>
      </c>
      <c r="V83" s="135"/>
      <c r="W83" s="135"/>
    </row>
    <row r="84" spans="1:23" s="194" customFormat="1" ht="30" customHeight="1" thickBot="1" x14ac:dyDescent="0.25">
      <c r="A84" s="198" t="s">
        <v>488</v>
      </c>
      <c r="K84" s="135"/>
      <c r="S84" s="145" t="s">
        <v>373</v>
      </c>
      <c r="T84" s="143"/>
      <c r="U84" s="152" t="s">
        <v>318</v>
      </c>
      <c r="V84" s="135"/>
      <c r="W84" s="135"/>
    </row>
    <row r="85" spans="1:23" s="194" customFormat="1" ht="30" customHeight="1" thickBot="1" x14ac:dyDescent="0.25">
      <c r="A85" s="199" t="s">
        <v>489</v>
      </c>
      <c r="C85" s="190" t="s">
        <v>603</v>
      </c>
      <c r="E85" s="171" t="s">
        <v>483</v>
      </c>
      <c r="G85" s="190" t="s">
        <v>601</v>
      </c>
      <c r="K85" s="135"/>
      <c r="S85" s="145" t="s">
        <v>372</v>
      </c>
      <c r="T85" s="143"/>
      <c r="U85" s="152" t="s">
        <v>317</v>
      </c>
      <c r="V85" s="135"/>
      <c r="W85" s="135"/>
    </row>
    <row r="86" spans="1:23" s="194" customFormat="1" ht="30" customHeight="1" thickBot="1" x14ac:dyDescent="0.25">
      <c r="A86" s="200" t="s">
        <v>491</v>
      </c>
      <c r="C86" s="190" t="s">
        <v>605</v>
      </c>
      <c r="E86" s="135" t="s">
        <v>128</v>
      </c>
      <c r="G86" s="190" t="s">
        <v>604</v>
      </c>
      <c r="K86" s="135"/>
      <c r="S86" s="145" t="s">
        <v>371</v>
      </c>
      <c r="T86" s="143"/>
      <c r="U86" s="152" t="s">
        <v>316</v>
      </c>
      <c r="V86" s="135"/>
      <c r="W86" s="135"/>
    </row>
    <row r="87" spans="1:23" s="194" customFormat="1" ht="30" customHeight="1" x14ac:dyDescent="0.2">
      <c r="A87" s="201" t="s">
        <v>494</v>
      </c>
      <c r="C87" s="171" t="s">
        <v>606</v>
      </c>
      <c r="E87" s="135" t="s">
        <v>129</v>
      </c>
      <c r="G87" s="197"/>
      <c r="S87" s="147"/>
      <c r="T87" s="135"/>
      <c r="U87" s="135"/>
      <c r="V87" s="135"/>
      <c r="W87" s="135"/>
    </row>
    <row r="88" spans="1:23" s="194" customFormat="1" ht="30" customHeight="1" thickBot="1" x14ac:dyDescent="0.25">
      <c r="A88" s="135"/>
      <c r="C88" s="135"/>
      <c r="E88" s="190" t="s">
        <v>603</v>
      </c>
      <c r="G88" s="197"/>
      <c r="S88" s="191" t="s">
        <v>319</v>
      </c>
      <c r="T88" s="143"/>
      <c r="U88" s="192" t="s">
        <v>259</v>
      </c>
      <c r="V88" s="135"/>
      <c r="W88" s="135"/>
    </row>
    <row r="89" spans="1:23" ht="30" customHeight="1" thickBot="1" x14ac:dyDescent="0.25">
      <c r="E89" s="171" t="s">
        <v>605</v>
      </c>
      <c r="S89" s="145" t="s">
        <v>374</v>
      </c>
      <c r="T89" s="143"/>
      <c r="U89" s="152" t="s">
        <v>323</v>
      </c>
    </row>
    <row r="90" spans="1:23" ht="30" customHeight="1" thickBot="1" x14ac:dyDescent="0.25">
      <c r="E90" s="171" t="s">
        <v>606</v>
      </c>
      <c r="S90" s="145" t="s">
        <v>373</v>
      </c>
      <c r="T90" s="143"/>
      <c r="U90" s="152" t="s">
        <v>322</v>
      </c>
    </row>
    <row r="91" spans="1:23" ht="30" customHeight="1" thickBot="1" x14ac:dyDescent="0.25">
      <c r="S91" s="145" t="s">
        <v>372</v>
      </c>
      <c r="T91" s="143"/>
      <c r="U91" s="152" t="s">
        <v>321</v>
      </c>
    </row>
    <row r="92" spans="1:23" ht="30" customHeight="1" thickBot="1" x14ac:dyDescent="0.25">
      <c r="C92" s="194"/>
      <c r="E92" s="194"/>
      <c r="G92" s="194"/>
      <c r="S92" s="145" t="s">
        <v>371</v>
      </c>
      <c r="T92" s="143"/>
      <c r="U92" s="152" t="s">
        <v>320</v>
      </c>
    </row>
    <row r="93" spans="1:23" ht="30" customHeight="1" x14ac:dyDescent="0.2">
      <c r="C93" s="190" t="s">
        <v>444</v>
      </c>
      <c r="E93" s="171" t="s">
        <v>598</v>
      </c>
      <c r="G93" s="171" t="s">
        <v>598</v>
      </c>
      <c r="S93" s="147"/>
    </row>
    <row r="94" spans="1:23" ht="30" customHeight="1" thickBot="1" x14ac:dyDescent="0.25">
      <c r="C94" s="190" t="s">
        <v>142</v>
      </c>
      <c r="G94" s="135" t="s">
        <v>131</v>
      </c>
      <c r="S94" s="191" t="s">
        <v>324</v>
      </c>
      <c r="T94" s="143"/>
      <c r="U94" s="192" t="s">
        <v>259</v>
      </c>
    </row>
    <row r="95" spans="1:23" ht="30" customHeight="1" thickBot="1" x14ac:dyDescent="0.25">
      <c r="C95" s="190" t="s">
        <v>601</v>
      </c>
      <c r="G95" s="171" t="s">
        <v>130</v>
      </c>
      <c r="S95" s="145" t="s">
        <v>374</v>
      </c>
      <c r="T95" s="143"/>
      <c r="U95" s="152" t="s">
        <v>435</v>
      </c>
    </row>
    <row r="96" spans="1:23" ht="30" customHeight="1" thickBot="1" x14ac:dyDescent="0.25">
      <c r="C96" s="190" t="s">
        <v>604</v>
      </c>
      <c r="G96" s="171" t="s">
        <v>490</v>
      </c>
      <c r="S96" s="145" t="s">
        <v>373</v>
      </c>
      <c r="T96" s="143"/>
      <c r="U96" s="152" t="s">
        <v>326</v>
      </c>
    </row>
    <row r="97" spans="3:21" ht="30" customHeight="1" thickBot="1" x14ac:dyDescent="0.25">
      <c r="C97" s="190" t="s">
        <v>445</v>
      </c>
      <c r="S97" s="145" t="s">
        <v>372</v>
      </c>
      <c r="T97" s="143"/>
      <c r="U97" s="152" t="s">
        <v>325</v>
      </c>
    </row>
    <row r="98" spans="3:21" ht="30" customHeight="1" thickBot="1" x14ac:dyDescent="0.25">
      <c r="C98" s="193" t="s">
        <v>132</v>
      </c>
      <c r="S98" s="145" t="s">
        <v>371</v>
      </c>
      <c r="T98" s="143"/>
      <c r="U98" s="152" t="s">
        <v>436</v>
      </c>
    </row>
    <row r="100" spans="3:21" ht="30" customHeight="1" x14ac:dyDescent="0.2">
      <c r="C100" s="194"/>
      <c r="E100" s="194"/>
    </row>
    <row r="101" spans="3:21" ht="30" customHeight="1" x14ac:dyDescent="0.2">
      <c r="C101" s="171" t="s">
        <v>599</v>
      </c>
      <c r="E101" s="171" t="s">
        <v>599</v>
      </c>
    </row>
    <row r="102" spans="3:21" ht="30" customHeight="1" x14ac:dyDescent="0.2">
      <c r="C102" s="171" t="s">
        <v>600</v>
      </c>
      <c r="E102" s="171" t="s">
        <v>600</v>
      </c>
    </row>
    <row r="103" spans="3:21" ht="30" customHeight="1" x14ac:dyDescent="0.2">
      <c r="C103" s="171" t="s">
        <v>602</v>
      </c>
      <c r="E103" s="171" t="s">
        <v>602</v>
      </c>
    </row>
    <row r="104" spans="3:21" ht="30" customHeight="1" x14ac:dyDescent="0.2">
      <c r="E104" s="171" t="s">
        <v>446</v>
      </c>
    </row>
    <row r="105" spans="3:21" ht="30" customHeight="1" x14ac:dyDescent="0.2">
      <c r="E105" s="171" t="s">
        <v>484</v>
      </c>
    </row>
  </sheetData>
  <sheetProtection algorithmName="SHA-512" hashValue="XQiKtd+RsMLC5zL0cGEupt7jsQI9kuQgq0lW3FcvPKJRKRjZaeanc7qTUOezOIedgbhpPzyrMWg6dYQEiNK5Zw==" saltValue="l0ye+MrR0YEfZEHsHNQojg==" spinCount="100000" sheet="1" objects="1" scenarios="1"/>
  <mergeCells count="7">
    <mergeCell ref="O1:Q1"/>
    <mergeCell ref="S1:U1"/>
    <mergeCell ref="A80:I80"/>
    <mergeCell ref="C82:G82"/>
    <mergeCell ref="C1:E1"/>
    <mergeCell ref="G1:I1"/>
    <mergeCell ref="K1:M1"/>
  </mergeCells>
  <phoneticPr fontId="22" type="noConversion"/>
  <pageMargins left="0.7" right="0.7" top="0.75" bottom="0.75" header="0.3" footer="0.3"/>
  <pageSetup paperSize="9" orientation="portrait" r:id="rId1"/>
  <tableParts count="14">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E2234-AA15-4529-83A6-9D87D6D6C2E6}">
  <sheetPr codeName="Sheet7"/>
  <dimension ref="A1:H125"/>
  <sheetViews>
    <sheetView topLeftCell="A97" workbookViewId="0">
      <selection activeCell="F142" sqref="F142"/>
    </sheetView>
  </sheetViews>
  <sheetFormatPr defaultColWidth="9" defaultRowHeight="14.25" x14ac:dyDescent="0.2"/>
  <sheetData>
    <row r="1" spans="1:8" x14ac:dyDescent="0.2">
      <c r="A1" t="s">
        <v>0</v>
      </c>
    </row>
    <row r="2" spans="1:8" x14ac:dyDescent="0.2">
      <c r="A2" t="s">
        <v>1</v>
      </c>
      <c r="E2" s="439" t="s">
        <v>257</v>
      </c>
      <c r="F2" s="439"/>
      <c r="G2" s="439"/>
      <c r="H2" s="439"/>
    </row>
    <row r="3" spans="1:8" x14ac:dyDescent="0.2">
      <c r="A3" t="s">
        <v>119</v>
      </c>
      <c r="E3" s="439"/>
      <c r="F3" s="439"/>
      <c r="G3" s="439"/>
      <c r="H3" s="439"/>
    </row>
    <row r="4" spans="1:8" x14ac:dyDescent="0.2">
      <c r="A4" t="s">
        <v>2</v>
      </c>
      <c r="E4" s="439"/>
      <c r="F4" s="439"/>
      <c r="G4" s="439"/>
      <c r="H4" s="439"/>
    </row>
    <row r="5" spans="1:8" x14ac:dyDescent="0.2">
      <c r="A5" t="s">
        <v>3</v>
      </c>
      <c r="E5" s="439"/>
      <c r="F5" s="439"/>
      <c r="G5" s="439"/>
      <c r="H5" s="439"/>
    </row>
    <row r="6" spans="1:8" x14ac:dyDescent="0.2">
      <c r="A6" t="s">
        <v>4</v>
      </c>
      <c r="E6" s="439"/>
      <c r="F6" s="439"/>
      <c r="G6" s="439"/>
      <c r="H6" s="439"/>
    </row>
    <row r="7" spans="1:8" x14ac:dyDescent="0.2">
      <c r="A7" t="s">
        <v>5</v>
      </c>
    </row>
    <row r="8" spans="1:8" x14ac:dyDescent="0.2">
      <c r="A8" t="s">
        <v>6</v>
      </c>
    </row>
    <row r="9" spans="1:8" x14ac:dyDescent="0.2">
      <c r="A9" t="s">
        <v>7</v>
      </c>
    </row>
    <row r="10" spans="1:8" x14ac:dyDescent="0.2">
      <c r="A10" s="79" t="s">
        <v>8</v>
      </c>
    </row>
    <row r="11" spans="1:8" x14ac:dyDescent="0.2">
      <c r="A11" t="s">
        <v>9</v>
      </c>
    </row>
    <row r="12" spans="1:8" x14ac:dyDescent="0.2">
      <c r="A12" t="s">
        <v>10</v>
      </c>
    </row>
    <row r="13" spans="1:8" x14ac:dyDescent="0.2">
      <c r="A13" t="s">
        <v>11</v>
      </c>
    </row>
    <row r="14" spans="1:8" x14ac:dyDescent="0.2">
      <c r="A14" t="s">
        <v>12</v>
      </c>
    </row>
    <row r="15" spans="1:8" x14ac:dyDescent="0.2">
      <c r="A15" t="s">
        <v>13</v>
      </c>
    </row>
    <row r="16" spans="1:8" x14ac:dyDescent="0.2">
      <c r="A16" t="s">
        <v>14</v>
      </c>
    </row>
    <row r="17" spans="1:1" x14ac:dyDescent="0.2">
      <c r="A17" t="s">
        <v>15</v>
      </c>
    </row>
    <row r="18" spans="1:1" x14ac:dyDescent="0.2">
      <c r="A18" t="s">
        <v>16</v>
      </c>
    </row>
    <row r="19" spans="1:1" x14ac:dyDescent="0.2">
      <c r="A19" t="s">
        <v>17</v>
      </c>
    </row>
    <row r="20" spans="1:1" x14ac:dyDescent="0.2">
      <c r="A20" t="s">
        <v>133</v>
      </c>
    </row>
    <row r="21" spans="1:1" x14ac:dyDescent="0.2">
      <c r="A21" t="s">
        <v>18</v>
      </c>
    </row>
    <row r="22" spans="1:1" x14ac:dyDescent="0.2">
      <c r="A22" t="s">
        <v>19</v>
      </c>
    </row>
    <row r="23" spans="1:1" x14ac:dyDescent="0.2">
      <c r="A23" t="s">
        <v>20</v>
      </c>
    </row>
    <row r="24" spans="1:1" x14ac:dyDescent="0.2">
      <c r="A24" t="s">
        <v>21</v>
      </c>
    </row>
    <row r="25" spans="1:1" x14ac:dyDescent="0.2">
      <c r="A25" t="s">
        <v>22</v>
      </c>
    </row>
    <row r="26" spans="1:1" x14ac:dyDescent="0.2">
      <c r="A26" t="s">
        <v>23</v>
      </c>
    </row>
    <row r="27" spans="1:1" x14ac:dyDescent="0.2">
      <c r="A27" t="s">
        <v>24</v>
      </c>
    </row>
    <row r="28" spans="1:1" x14ac:dyDescent="0.2">
      <c r="A28" t="s">
        <v>120</v>
      </c>
    </row>
    <row r="29" spans="1:1" x14ac:dyDescent="0.2">
      <c r="A29" t="s">
        <v>25</v>
      </c>
    </row>
    <row r="30" spans="1:1" x14ac:dyDescent="0.2">
      <c r="A30" t="s">
        <v>26</v>
      </c>
    </row>
    <row r="31" spans="1:1" x14ac:dyDescent="0.2">
      <c r="A31" t="s">
        <v>27</v>
      </c>
    </row>
    <row r="32" spans="1:1" x14ac:dyDescent="0.2">
      <c r="A32" t="s">
        <v>28</v>
      </c>
    </row>
    <row r="33" spans="1:1" x14ac:dyDescent="0.2">
      <c r="A33" t="s">
        <v>29</v>
      </c>
    </row>
    <row r="34" spans="1:1" x14ac:dyDescent="0.2">
      <c r="A34" t="s">
        <v>30</v>
      </c>
    </row>
    <row r="35" spans="1:1" x14ac:dyDescent="0.2">
      <c r="A35" t="s">
        <v>134</v>
      </c>
    </row>
    <row r="36" spans="1:1" x14ac:dyDescent="0.2">
      <c r="A36" t="s">
        <v>31</v>
      </c>
    </row>
    <row r="37" spans="1:1" x14ac:dyDescent="0.2">
      <c r="A37" t="s">
        <v>32</v>
      </c>
    </row>
    <row r="38" spans="1:1" x14ac:dyDescent="0.2">
      <c r="A38" t="s">
        <v>33</v>
      </c>
    </row>
    <row r="39" spans="1:1" x14ac:dyDescent="0.2">
      <c r="A39" t="s">
        <v>34</v>
      </c>
    </row>
    <row r="40" spans="1:1" x14ac:dyDescent="0.2">
      <c r="A40" t="s">
        <v>35</v>
      </c>
    </row>
    <row r="41" spans="1:1" x14ac:dyDescent="0.2">
      <c r="A41" t="s">
        <v>36</v>
      </c>
    </row>
    <row r="42" spans="1:1" x14ac:dyDescent="0.2">
      <c r="A42" t="s">
        <v>37</v>
      </c>
    </row>
    <row r="43" spans="1:1" x14ac:dyDescent="0.2">
      <c r="A43" t="s">
        <v>38</v>
      </c>
    </row>
    <row r="44" spans="1:1" x14ac:dyDescent="0.2">
      <c r="A44" t="s">
        <v>39</v>
      </c>
    </row>
    <row r="45" spans="1:1" x14ac:dyDescent="0.2">
      <c r="A45" t="s">
        <v>40</v>
      </c>
    </row>
    <row r="46" spans="1:1" x14ac:dyDescent="0.2">
      <c r="A46" t="s">
        <v>41</v>
      </c>
    </row>
    <row r="47" spans="1:1" x14ac:dyDescent="0.2">
      <c r="A47" t="s">
        <v>42</v>
      </c>
    </row>
    <row r="48" spans="1:1" x14ac:dyDescent="0.2">
      <c r="A48" t="s">
        <v>43</v>
      </c>
    </row>
    <row r="49" spans="1:1" x14ac:dyDescent="0.2">
      <c r="A49" t="s">
        <v>44</v>
      </c>
    </row>
    <row r="50" spans="1:1" x14ac:dyDescent="0.2">
      <c r="A50" t="s">
        <v>45</v>
      </c>
    </row>
    <row r="51" spans="1:1" x14ac:dyDescent="0.2">
      <c r="A51" t="s">
        <v>46</v>
      </c>
    </row>
    <row r="52" spans="1:1" x14ac:dyDescent="0.2">
      <c r="A52" t="s">
        <v>47</v>
      </c>
    </row>
    <row r="53" spans="1:1" x14ac:dyDescent="0.2">
      <c r="A53" t="s">
        <v>48</v>
      </c>
    </row>
    <row r="54" spans="1:1" x14ac:dyDescent="0.2">
      <c r="A54" t="s">
        <v>49</v>
      </c>
    </row>
    <row r="55" spans="1:1" x14ac:dyDescent="0.2">
      <c r="A55" t="s">
        <v>50</v>
      </c>
    </row>
    <row r="56" spans="1:1" x14ac:dyDescent="0.2">
      <c r="A56" t="s">
        <v>51</v>
      </c>
    </row>
    <row r="57" spans="1:1" x14ac:dyDescent="0.2">
      <c r="A57" t="s">
        <v>52</v>
      </c>
    </row>
    <row r="58" spans="1:1" x14ac:dyDescent="0.2">
      <c r="A58" t="s">
        <v>53</v>
      </c>
    </row>
    <row r="59" spans="1:1" x14ac:dyDescent="0.2">
      <c r="A59" t="s">
        <v>54</v>
      </c>
    </row>
    <row r="60" spans="1:1" x14ac:dyDescent="0.2">
      <c r="A60" t="s">
        <v>55</v>
      </c>
    </row>
    <row r="61" spans="1:1" x14ac:dyDescent="0.2">
      <c r="A61" t="s">
        <v>56</v>
      </c>
    </row>
    <row r="62" spans="1:1" x14ac:dyDescent="0.2">
      <c r="A62" t="s">
        <v>57</v>
      </c>
    </row>
    <row r="63" spans="1:1" x14ac:dyDescent="0.2">
      <c r="A63" t="s">
        <v>58</v>
      </c>
    </row>
    <row r="64" spans="1:1" x14ac:dyDescent="0.2">
      <c r="A64" t="s">
        <v>59</v>
      </c>
    </row>
    <row r="65" spans="1:1" x14ac:dyDescent="0.2">
      <c r="A65" t="s">
        <v>60</v>
      </c>
    </row>
    <row r="66" spans="1:1" x14ac:dyDescent="0.2">
      <c r="A66" t="s">
        <v>61</v>
      </c>
    </row>
    <row r="67" spans="1:1" x14ac:dyDescent="0.2">
      <c r="A67" t="s">
        <v>62</v>
      </c>
    </row>
    <row r="68" spans="1:1" x14ac:dyDescent="0.2">
      <c r="A68" t="s">
        <v>63</v>
      </c>
    </row>
    <row r="69" spans="1:1" x14ac:dyDescent="0.2">
      <c r="A69" t="s">
        <v>64</v>
      </c>
    </row>
    <row r="70" spans="1:1" x14ac:dyDescent="0.2">
      <c r="A70" t="s">
        <v>65</v>
      </c>
    </row>
    <row r="71" spans="1:1" x14ac:dyDescent="0.2">
      <c r="A71" t="s">
        <v>66</v>
      </c>
    </row>
    <row r="72" spans="1:1" x14ac:dyDescent="0.2">
      <c r="A72" t="s">
        <v>67</v>
      </c>
    </row>
    <row r="73" spans="1:1" x14ac:dyDescent="0.2">
      <c r="A73" t="s">
        <v>68</v>
      </c>
    </row>
    <row r="74" spans="1:1" x14ac:dyDescent="0.2">
      <c r="A74" t="s">
        <v>69</v>
      </c>
    </row>
    <row r="75" spans="1:1" x14ac:dyDescent="0.2">
      <c r="A75" t="s">
        <v>70</v>
      </c>
    </row>
    <row r="76" spans="1:1" x14ac:dyDescent="0.2">
      <c r="A76" t="s">
        <v>71</v>
      </c>
    </row>
    <row r="77" spans="1:1" x14ac:dyDescent="0.2">
      <c r="A77" t="s">
        <v>72</v>
      </c>
    </row>
    <row r="78" spans="1:1" x14ac:dyDescent="0.2">
      <c r="A78" t="s">
        <v>73</v>
      </c>
    </row>
    <row r="79" spans="1:1" x14ac:dyDescent="0.2">
      <c r="A79" t="s">
        <v>74</v>
      </c>
    </row>
    <row r="80" spans="1:1" x14ac:dyDescent="0.2">
      <c r="A80" t="s">
        <v>75</v>
      </c>
    </row>
    <row r="81" spans="1:1" x14ac:dyDescent="0.2">
      <c r="A81" t="s">
        <v>76</v>
      </c>
    </row>
    <row r="82" spans="1:1" x14ac:dyDescent="0.2">
      <c r="A82" t="s">
        <v>77</v>
      </c>
    </row>
    <row r="83" spans="1:1" x14ac:dyDescent="0.2">
      <c r="A83" t="s">
        <v>78</v>
      </c>
    </row>
    <row r="84" spans="1:1" x14ac:dyDescent="0.2">
      <c r="A84" t="s">
        <v>79</v>
      </c>
    </row>
    <row r="85" spans="1:1" x14ac:dyDescent="0.2">
      <c r="A85" t="s">
        <v>80</v>
      </c>
    </row>
    <row r="86" spans="1:1" x14ac:dyDescent="0.2">
      <c r="A86" t="s">
        <v>81</v>
      </c>
    </row>
    <row r="87" spans="1:1" x14ac:dyDescent="0.2">
      <c r="A87" t="s">
        <v>82</v>
      </c>
    </row>
    <row r="88" spans="1:1" x14ac:dyDescent="0.2">
      <c r="A88" t="s">
        <v>83</v>
      </c>
    </row>
    <row r="89" spans="1:1" x14ac:dyDescent="0.2">
      <c r="A89" t="s">
        <v>84</v>
      </c>
    </row>
    <row r="90" spans="1:1" x14ac:dyDescent="0.2">
      <c r="A90" t="s">
        <v>85</v>
      </c>
    </row>
    <row r="91" spans="1:1" x14ac:dyDescent="0.2">
      <c r="A91" t="s">
        <v>86</v>
      </c>
    </row>
    <row r="92" spans="1:1" x14ac:dyDescent="0.2">
      <c r="A92" t="s">
        <v>87</v>
      </c>
    </row>
    <row r="93" spans="1:1" x14ac:dyDescent="0.2">
      <c r="A93" t="s">
        <v>88</v>
      </c>
    </row>
    <row r="94" spans="1:1" x14ac:dyDescent="0.2">
      <c r="A94" t="s">
        <v>89</v>
      </c>
    </row>
    <row r="95" spans="1:1" x14ac:dyDescent="0.2">
      <c r="A95" t="s">
        <v>90</v>
      </c>
    </row>
    <row r="96" spans="1:1" x14ac:dyDescent="0.2">
      <c r="A96" t="s">
        <v>91</v>
      </c>
    </row>
    <row r="97" spans="1:1" x14ac:dyDescent="0.2">
      <c r="A97" t="s">
        <v>92</v>
      </c>
    </row>
    <row r="98" spans="1:1" x14ac:dyDescent="0.2">
      <c r="A98" t="s">
        <v>93</v>
      </c>
    </row>
    <row r="99" spans="1:1" x14ac:dyDescent="0.2">
      <c r="A99" t="s">
        <v>94</v>
      </c>
    </row>
    <row r="100" spans="1:1" x14ac:dyDescent="0.2">
      <c r="A100" t="s">
        <v>95</v>
      </c>
    </row>
    <row r="101" spans="1:1" x14ac:dyDescent="0.2">
      <c r="A101" t="s">
        <v>96</v>
      </c>
    </row>
    <row r="102" spans="1:1" x14ac:dyDescent="0.2">
      <c r="A102" t="s">
        <v>97</v>
      </c>
    </row>
    <row r="103" spans="1:1" x14ac:dyDescent="0.2">
      <c r="A103" t="s">
        <v>98</v>
      </c>
    </row>
    <row r="104" spans="1:1" x14ac:dyDescent="0.2">
      <c r="A104" t="s">
        <v>99</v>
      </c>
    </row>
    <row r="105" spans="1:1" x14ac:dyDescent="0.2">
      <c r="A105" t="s">
        <v>100</v>
      </c>
    </row>
    <row r="106" spans="1:1" x14ac:dyDescent="0.2">
      <c r="A106" t="s">
        <v>101</v>
      </c>
    </row>
    <row r="107" spans="1:1" x14ac:dyDescent="0.2">
      <c r="A107" t="s">
        <v>102</v>
      </c>
    </row>
    <row r="108" spans="1:1" x14ac:dyDescent="0.2">
      <c r="A108" t="s">
        <v>103</v>
      </c>
    </row>
    <row r="109" spans="1:1" x14ac:dyDescent="0.2">
      <c r="A109" t="s">
        <v>136</v>
      </c>
    </row>
    <row r="110" spans="1:1" x14ac:dyDescent="0.2">
      <c r="A110" t="s">
        <v>141</v>
      </c>
    </row>
    <row r="111" spans="1:1" x14ac:dyDescent="0.2">
      <c r="A111" t="s">
        <v>135</v>
      </c>
    </row>
    <row r="112" spans="1:1" x14ac:dyDescent="0.2">
      <c r="A112" t="s">
        <v>104</v>
      </c>
    </row>
    <row r="113" spans="1:1" x14ac:dyDescent="0.2">
      <c r="A113" t="s">
        <v>139</v>
      </c>
    </row>
    <row r="114" spans="1:1" x14ac:dyDescent="0.2">
      <c r="A114" t="s">
        <v>105</v>
      </c>
    </row>
    <row r="115" spans="1:1" x14ac:dyDescent="0.2">
      <c r="A115" t="s">
        <v>121</v>
      </c>
    </row>
    <row r="116" spans="1:1" x14ac:dyDescent="0.2">
      <c r="A116" t="s">
        <v>122</v>
      </c>
    </row>
    <row r="117" spans="1:1" x14ac:dyDescent="0.2">
      <c r="A117" t="s">
        <v>106</v>
      </c>
    </row>
    <row r="118" spans="1:1" x14ac:dyDescent="0.2">
      <c r="A118" t="s">
        <v>138</v>
      </c>
    </row>
    <row r="119" spans="1:1" x14ac:dyDescent="0.2">
      <c r="A119" t="s">
        <v>107</v>
      </c>
    </row>
    <row r="120" spans="1:1" x14ac:dyDescent="0.2">
      <c r="A120" t="s">
        <v>108</v>
      </c>
    </row>
    <row r="121" spans="1:1" x14ac:dyDescent="0.2">
      <c r="A121" t="s">
        <v>137</v>
      </c>
    </row>
    <row r="122" spans="1:1" x14ac:dyDescent="0.2">
      <c r="A122" t="s">
        <v>109</v>
      </c>
    </row>
    <row r="123" spans="1:1" x14ac:dyDescent="0.2">
      <c r="A123" t="s">
        <v>123</v>
      </c>
    </row>
    <row r="124" spans="1:1" x14ac:dyDescent="0.2">
      <c r="A124" t="s">
        <v>140</v>
      </c>
    </row>
    <row r="125" spans="1:1" x14ac:dyDescent="0.2">
      <c r="A125" s="79" t="s">
        <v>677</v>
      </c>
    </row>
  </sheetData>
  <sheetProtection algorithmName="SHA-512" hashValue="sFAE+oWhisOOM93eFHBnCIIGvtYqGO78i+2ySuSKDd55agnldHz170unUmKJtqU8N6XtSFhtpeDUL0HBwI/Bgw==" saltValue="qdf953OmdZog/4MQ8M8zpQ==" spinCount="100000" sheet="1" objects="1" scenarios="1"/>
  <sortState xmlns:xlrd2="http://schemas.microsoft.com/office/spreadsheetml/2017/richdata2" ref="A1:A124">
    <sortCondition ref="A1"/>
  </sortState>
  <mergeCells count="1">
    <mergeCell ref="E2:H6"/>
  </mergeCells>
  <dataValidations count="1">
    <dataValidation type="list" allowBlank="1" showInputMessage="1" showErrorMessage="1" sqref="D124" xr:uid="{2F33D720-304C-4F96-AD0B-F6B9A074BBF4}">
      <formula1>$A$1:$A$124</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678cb6b0-ae3a-4210-a1b1-d0020c0aba52">FYACPHA5NQ3C-1062990798-50558</_dlc_DocId>
    <_dlc_DocIdUrl xmlns="678cb6b0-ae3a-4210-a1b1-d0020c0aba52">
      <Url>https://tgf.sharepoint.com/sites/TSGMT4/CCMB/_layouts/15/DocIdRedir.aspx?ID=FYACPHA5NQ3C-1062990798-50558</Url>
      <Description>FYACPHA5NQ3C-1062990798-50558</Description>
    </_dlc_DocIdUrl>
    <lcf76f155ced4ddcb4097134ff3c332f xmlns="6f438923-feb7-45b3-a657-092cfdb2b257">
      <Terms xmlns="http://schemas.microsoft.com/office/infopath/2007/PartnerControls"/>
    </lcf76f155ced4ddcb4097134ff3c332f>
    <TaxCatchAll xmlns="97a2c079-d1fd-410b-b0f0-ee08b71651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4CC445ED9F804589DF3A42A67B22D2" ma:contentTypeVersion="43" ma:contentTypeDescription="Create a new document." ma:contentTypeScope="" ma:versionID="e121fe39c3038efaa15ea11a64c61d68">
  <xsd:schema xmlns:xsd="http://www.w3.org/2001/XMLSchema" xmlns:xs="http://www.w3.org/2001/XMLSchema" xmlns:p="http://schemas.microsoft.com/office/2006/metadata/properties" xmlns:ns2="678cb6b0-ae3a-4210-a1b1-d0020c0aba52" xmlns:ns3="7c7316b6-1708-4edf-a806-15e46c7e58d7" xmlns:ns4="6f438923-feb7-45b3-a657-092cfdb2b257" xmlns:ns5="97a2c079-d1fd-410b-b0f0-ee08b7165110" targetNamespace="http://schemas.microsoft.com/office/2006/metadata/properties" ma:root="true" ma:fieldsID="4ea0c50766049a6c02fa580b570795ca" ns2:_="" ns3:_="" ns4:_="" ns5:_="">
    <xsd:import namespace="678cb6b0-ae3a-4210-a1b1-d0020c0aba52"/>
    <xsd:import namespace="7c7316b6-1708-4edf-a806-15e46c7e58d7"/>
    <xsd:import namespace="6f438923-feb7-45b3-a657-092cfdb2b257"/>
    <xsd:import namespace="97a2c079-d1fd-410b-b0f0-ee08b7165110"/>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AutoTags" minOccurs="0"/>
                <xsd:element ref="ns4:MediaServiceDateTaken" minOccurs="0"/>
                <xsd:element ref="ns4:MediaServiceLocation" minOccurs="0"/>
                <xsd:element ref="ns4:MediaServiceOCR" minOccurs="0"/>
                <xsd:element ref="ns4:MediaServiceEventHashCode" minOccurs="0"/>
                <xsd:element ref="ns4:MediaServiceGenerationTime" minOccurs="0"/>
                <xsd:element ref="ns4:MediaServiceAutoKeyPoints" minOccurs="0"/>
                <xsd:element ref="ns4:MediaServiceKeyPoints" minOccurs="0"/>
                <xsd:element ref="ns4:MediaLengthInSeconds" minOccurs="0"/>
                <xsd:element ref="ns4:lcf76f155ced4ddcb4097134ff3c332f"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8cb6b0-ae3a-4210-a1b1-d0020c0aba5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c7316b6-1708-4edf-a806-15e46c7e58d7" elementFormDefault="qualified">
    <xsd:import namespace="http://schemas.microsoft.com/office/2006/documentManagement/types"/>
    <xsd:import namespace="http://schemas.microsoft.com/office/infopath/2007/PartnerControls"/>
    <xsd:element name="LastSharedByUser" ma:index="13" nillable="true" ma:displayName="Last Shared By User" ma:description="" ma:internalName="LastSharedByUser" ma:readOnly="true">
      <xsd:simpleType>
        <xsd:restriction base="dms:Note">
          <xsd:maxLength value="255"/>
        </xsd:restriction>
      </xsd:simpleType>
    </xsd:element>
    <xsd:element name="LastSharedByTime" ma:index="14"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f438923-feb7-45b3-a657-092cfdb2b257" elementFormDefault="qualified">
    <xsd:import namespace="http://schemas.microsoft.com/office/2006/documentManagement/types"/>
    <xsd:import namespace="http://schemas.microsoft.com/office/infopath/2007/PartnerControls"/>
    <xsd:element name="MediaServiceMetadata" ma:index="15" nillable="true" ma:displayName="MediaServiceMetadata" ma:description="" ma:hidden="true" ma:internalName="MediaServiceMetadata" ma:readOnly="true">
      <xsd:simpleType>
        <xsd:restriction base="dms:Note"/>
      </xsd:simpleType>
    </xsd:element>
    <xsd:element name="MediaServiceFastMetadata" ma:index="16" nillable="true" ma:displayName="MediaServiceFastMetadata" ma:description="" ma:hidden="true" ma:internalName="MediaServiceFastMetadata" ma:readOnly="true">
      <xsd:simpleType>
        <xsd:restriction base="dms:Note"/>
      </xsd:simpleType>
    </xsd:element>
    <xsd:element name="MediaServiceAutoTags" ma:index="17" nillable="true" ma:displayName="MediaServiceAutoTags" ma:description="" ma:internalName="MediaServiceAutoTags" ma:readOnly="true">
      <xsd:simpleType>
        <xsd:restriction base="dms:Text"/>
      </xsd:simpleType>
    </xsd:element>
    <xsd:element name="MediaServiceDateTaken" ma:index="18" nillable="true" ma:displayName="MediaServiceDateTaken" ma:description="" ma:hidden="true" ma:internalName="MediaServiceDateTaken" ma:readOnly="true">
      <xsd:simpleType>
        <xsd:restriction base="dms:Text"/>
      </xsd:simpleType>
    </xsd:element>
    <xsd:element name="MediaServiceLocation" ma:index="19" nillable="true" ma:displayName="MediaServiceLocation" ma:description="" ma:internalName="MediaServiceLocation" ma:readOnly="true">
      <xsd:simpleType>
        <xsd:restriction base="dms:Text"/>
      </xsd:simpleType>
    </xsd:element>
    <xsd:element name="MediaServiceOCR" ma:index="20" nillable="true" ma:displayName="MediaServiceOCR" ma:internalName="MediaServiceOCR" ma:readOnly="true">
      <xsd:simpleType>
        <xsd:restriction base="dms:Note">
          <xsd:maxLength value="255"/>
        </xsd:restriction>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LengthInSeconds" ma:index="25" nillable="true" ma:displayName="Length (seconds)"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cbc5697c-9d86-4020-9001-b7da5740438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7a2c079-d1fd-410b-b0f0-ee08b7165110" elementFormDefault="qualified">
    <xsd:import namespace="http://schemas.microsoft.com/office/2006/documentManagement/types"/>
    <xsd:import namespace="http://schemas.microsoft.com/office/infopath/2007/PartnerControls"/>
    <xsd:element name="TaxCatchAll" ma:index="28" nillable="true" ma:displayName="Taxonomy Catch All Column" ma:hidden="true" ma:list="{15258b3d-c300-4ab0-b154-04d7bb2ae35b}" ma:internalName="TaxCatchAll" ma:showField="CatchAllData" ma:web="678cb6b0-ae3a-4210-a1b1-d0020c0aba5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7C949D8-6A6F-4B76-960C-B6ECF1DDB0FA}">
  <ds:schemaRefs>
    <ds:schemaRef ds:uri="http://schemas.microsoft.com/office/infopath/2007/PartnerControls"/>
    <ds:schemaRef ds:uri="fa473315-44a4-4518-8a4f-31f7017f3642"/>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678cb6b0-ae3a-4210-a1b1-d0020c0aba52"/>
    <ds:schemaRef ds:uri="6f438923-feb7-45b3-a657-092cfdb2b257"/>
    <ds:schemaRef ds:uri="97a2c079-d1fd-410b-b0f0-ee08b7165110"/>
  </ds:schemaRefs>
</ds:datastoreItem>
</file>

<file path=customXml/itemProps2.xml><?xml version="1.0" encoding="utf-8"?>
<ds:datastoreItem xmlns:ds="http://schemas.openxmlformats.org/officeDocument/2006/customXml" ds:itemID="{75AF13EC-5BB3-4AED-93FE-B03F4ACA92DB}">
  <ds:schemaRefs>
    <ds:schemaRef ds:uri="http://schemas.microsoft.com/sharepoint/v3/contenttype/forms"/>
  </ds:schemaRefs>
</ds:datastoreItem>
</file>

<file path=customXml/itemProps3.xml><?xml version="1.0" encoding="utf-8"?>
<ds:datastoreItem xmlns:ds="http://schemas.openxmlformats.org/officeDocument/2006/customXml" ds:itemID="{19C117D8-30A3-4E7A-8035-8D5492E3F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8cb6b0-ae3a-4210-a1b1-d0020c0aba52"/>
    <ds:schemaRef ds:uri="7c7316b6-1708-4edf-a806-15e46c7e58d7"/>
    <ds:schemaRef ds:uri="6f438923-feb7-45b3-a657-092cfdb2b257"/>
    <ds:schemaRef ds:uri="97a2c079-d1fd-410b-b0f0-ee08b71651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04FCCB7-15C1-4A39-A806-45B300F133A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47</vt:i4>
      </vt:variant>
    </vt:vector>
  </HeadingPairs>
  <TitlesOfParts>
    <vt:vector size="58" baseType="lpstr">
      <vt:lpstr>EN_EvolutionThreshold_Transfer</vt:lpstr>
      <vt:lpstr>EN_Progress_Results</vt:lpstr>
      <vt:lpstr>Progress_Results_Strategy</vt:lpstr>
      <vt:lpstr>EN_PF_QualitativeBaseline</vt:lpstr>
      <vt:lpstr>EN_PF_Year3</vt:lpstr>
      <vt:lpstr>EN_PF_YearY</vt:lpstr>
      <vt:lpstr>EN_PF_YearZ</vt:lpstr>
      <vt:lpstr>EN_PF_DROPDOWN</vt:lpstr>
      <vt:lpstr>List_CCM_Names</vt:lpstr>
      <vt:lpstr>Data_Extraction_Table_1</vt:lpstr>
      <vt:lpstr>Data_Extraction_Table_2</vt:lpstr>
      <vt:lpstr>ALLTAANDCOSTEDACTIVITIESENGAGEMENT</vt:lpstr>
      <vt:lpstr>ALLTAANDCOSTEDACTIVITIESOPERATIONS</vt:lpstr>
      <vt:lpstr>ALLTAANDCOSTEDACTIVITIESOVERSIGHT</vt:lpstr>
      <vt:lpstr>ALLTAANDCOSTEDACTIVITIESPOSITIONING</vt:lpstr>
      <vt:lpstr>Data_Extraction_Table_1!Areas</vt:lpstr>
      <vt:lpstr>Data_Extraction_Table_2!Areas</vt:lpstr>
      <vt:lpstr>EN_PF_QualitativeBaseline!Areas</vt:lpstr>
      <vt:lpstr>Progress_Results_Strategy!Areas</vt:lpstr>
      <vt:lpstr>Areas</vt:lpstr>
      <vt:lpstr>Data_Extraction_Table_1!Engagement</vt:lpstr>
      <vt:lpstr>Data_Extraction_Table_2!Engagement</vt:lpstr>
      <vt:lpstr>EN_PF_QualitativeBaseline!Engagement</vt:lpstr>
      <vt:lpstr>Progress_Results_Strategy!Engagement</vt:lpstr>
      <vt:lpstr>Engagement</vt:lpstr>
      <vt:lpstr>EN_PF_QualitativeBaseline!Evaluation_Ye</vt:lpstr>
      <vt:lpstr>EN_PF_Year3!Evaluation_Ye</vt:lpstr>
      <vt:lpstr>EN_PF_YearY!Evaluation_Ye</vt:lpstr>
      <vt:lpstr>EN_PF_YearZ!Evaluation_Ye</vt:lpstr>
      <vt:lpstr>EN_PF_QualitativeBaseline!Evaluation_Year_1</vt:lpstr>
      <vt:lpstr>EN_PF_Year3!Evaluation_Year_1</vt:lpstr>
      <vt:lpstr>EN_PF_YearY!Evaluation_Year_1</vt:lpstr>
      <vt:lpstr>EN_PF_YearZ!Evaluation_Year_1</vt:lpstr>
      <vt:lpstr>EN_PF_QualitativeBaseline!Evaluation_Year4</vt:lpstr>
      <vt:lpstr>EN_PF_Year3!Evaluation_Year4</vt:lpstr>
      <vt:lpstr>EN_PF_YearY!Evaluation_Year4</vt:lpstr>
      <vt:lpstr>EN_PF_YearZ!Evaluation_Year4</vt:lpstr>
      <vt:lpstr>INTERVENTIONS</vt:lpstr>
      <vt:lpstr>ONLYTASUPPORTENGAGEMENT</vt:lpstr>
      <vt:lpstr>ONLYTASUPPORTOPERATIONS</vt:lpstr>
      <vt:lpstr>ONLYTASUPPORTOVERSIGHT</vt:lpstr>
      <vt:lpstr>ONLYTASUPPORTPOSITIONING</vt:lpstr>
      <vt:lpstr>Data_Extraction_Table_1!Operations</vt:lpstr>
      <vt:lpstr>Data_Extraction_Table_2!Operations</vt:lpstr>
      <vt:lpstr>EN_PF_QualitativeBaseline!Operations</vt:lpstr>
      <vt:lpstr>Progress_Results_Strategy!Operations</vt:lpstr>
      <vt:lpstr>Operations</vt:lpstr>
      <vt:lpstr>Data_Extraction_Table_1!Oversight</vt:lpstr>
      <vt:lpstr>Data_Extraction_Table_2!Oversight</vt:lpstr>
      <vt:lpstr>EN_PF_QualitativeBaseline!Oversight</vt:lpstr>
      <vt:lpstr>Progress_Results_Strategy!Oversight</vt:lpstr>
      <vt:lpstr>Oversight</vt:lpstr>
      <vt:lpstr>Data_Extraction_Table_1!Positioning</vt:lpstr>
      <vt:lpstr>Data_Extraction_Table_2!Positioning</vt:lpstr>
      <vt:lpstr>EN_PF_QualitativeBaseline!Positioning</vt:lpstr>
      <vt:lpstr>Progress_Results_Strategy!Positioning</vt:lpstr>
      <vt:lpstr>Positioning</vt:lpstr>
      <vt:lpstr>EN_PF_Year3!Print_Area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Danilo Jose Rayo Benavides</dc:creator>
  <cp:lastModifiedBy>DELL_WW</cp:lastModifiedBy>
  <cp:lastPrinted>2022-12-06T04:45:53Z</cp:lastPrinted>
  <dcterms:created xsi:type="dcterms:W3CDTF">2013-01-29T10:38:23Z</dcterms:created>
  <dcterms:modified xsi:type="dcterms:W3CDTF">2022-12-08T07:01:27Z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0x010100CD4CC445ED9F804589DF3A42A67B22D2</vt:lpwstr>
  </property>
  <property fmtid="{D5CDD505-2E9C-101B-9397-08002B2CF9AE}" pid="3" name="gfDocumentType">
    <vt:lpwstr>(unspecified)</vt:lpwstr>
  </property>
  <property fmtid="{D5CDD505-2E9C-101B-9397-08002B2CF9AE}" pid="4" name="gfCountry">
    <vt:lpwstr>(unspecified)</vt:lpwstr>
  </property>
  <property fmtid="{D5CDD505-2E9C-101B-9397-08002B2CF9AE}" pid="5" name="gfContext">
    <vt:lpwstr>(unspecified)</vt:lpwstr>
  </property>
  <property fmtid="{D5CDD505-2E9C-101B-9397-08002B2CF9AE}" pid="6" name="gfCategory">
    <vt:lpwstr>(unspecified)</vt:lpwstr>
  </property>
  <property fmtid="{D5CDD505-2E9C-101B-9397-08002B2CF9AE}" pid="7" name="WorkflowCreationPath">
    <vt:lpwstr>2f7debbc-2b8d-44a1-9e0a-4005030c88f4,6;2f7debbc-2b8d-44a1-9e0a-4005030c88f4,12;</vt:lpwstr>
  </property>
  <property fmtid="{D5CDD505-2E9C-101B-9397-08002B2CF9AE}" pid="8" name="_dlc_DocIdItemGuid">
    <vt:lpwstr>1b7dc41b-9046-41eb-9e46-d263019d2fd5</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MediaServiceImageTags">
    <vt:lpwstr/>
  </property>
</Properties>
</file>